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570" yWindow="0" windowWidth="8790" windowHeight="4770" tabRatio="685" activeTab="10"/>
  </bookViews>
  <sheets>
    <sheet name="Exerc 3" sheetId="1" r:id="rId1"/>
    <sheet name="Exerc 4" sheetId="2" r:id="rId2"/>
    <sheet name="Exerc 5" sheetId="3" r:id="rId3"/>
    <sheet name="Exerc 6" sheetId="4" r:id="rId4"/>
    <sheet name="Exerc 7.2" sheetId="5" r:id="rId5"/>
    <sheet name="Exerc 8 - Folha1" sheetId="6" r:id="rId6"/>
    <sheet name="Exerc 8 - Folha2" sheetId="7" r:id="rId7"/>
    <sheet name="Exerc 9.1" sheetId="8" r:id="rId8"/>
    <sheet name="Exerc 9.2" sheetId="9" r:id="rId9"/>
    <sheet name="Exerc 9.3" sheetId="10" r:id="rId10"/>
    <sheet name="Exerc 10 - Factura" sheetId="11" r:id="rId11"/>
    <sheet name="Exerc 10 - Preços" sheetId="12" r:id="rId12"/>
    <sheet name="Exerc 11 - Folha1" sheetId="13" r:id="rId13"/>
    <sheet name="Exerc 11 - Folha2" sheetId="14" r:id="rId14"/>
  </sheets>
  <definedNames>
    <definedName name="solver_adj" localSheetId="9" hidden="1">'Exerc 9.3'!$B$3:$D$5</definedName>
    <definedName name="solver_cvg" localSheetId="9" hidden="1">0.0001</definedName>
    <definedName name="solver_drv" localSheetId="9" hidden="1">1</definedName>
    <definedName name="solver_est" localSheetId="9" hidden="1">1</definedName>
    <definedName name="solver_itr" localSheetId="9" hidden="1">100</definedName>
    <definedName name="solver_lhs1" localSheetId="9" hidden="1">'Exerc 9.3'!$B$3:$D$5</definedName>
    <definedName name="solver_lhs2" localSheetId="9" hidden="1">'Exerc 9.3'!$B$3:$D$5</definedName>
    <definedName name="solver_lhs3" localSheetId="9" hidden="1">'Exerc 9.3'!$B$6</definedName>
    <definedName name="solver_lhs4" localSheetId="9" hidden="1">'Exerc 9.3'!$C$6</definedName>
    <definedName name="solver_lhs5" localSheetId="9" hidden="1">'Exerc 9.3'!$D$6</definedName>
    <definedName name="solver_lhs6" localSheetId="9" hidden="1">'Exerc 9.3'!$E$3</definedName>
    <definedName name="solver_lhs7" localSheetId="9" hidden="1">'Exerc 9.3'!$E$4</definedName>
    <definedName name="solver_lhs8" localSheetId="9" hidden="1">'Exerc 9.3'!$E$5</definedName>
    <definedName name="solver_lin" localSheetId="9" hidden="1">2</definedName>
    <definedName name="solver_neg" localSheetId="9" hidden="1">2</definedName>
    <definedName name="solver_num" localSheetId="9" hidden="1">8</definedName>
    <definedName name="solver_nwt" localSheetId="9" hidden="1">1</definedName>
    <definedName name="solver_opt" localSheetId="9" hidden="1">'Exerc 9.3'!$G$6</definedName>
    <definedName name="solver_pre" localSheetId="9" hidden="1">0.000001</definedName>
    <definedName name="solver_rel1" localSheetId="9" hidden="1">4</definedName>
    <definedName name="solver_rel2" localSheetId="9" hidden="1">3</definedName>
    <definedName name="solver_rel3" localSheetId="9" hidden="1">3</definedName>
    <definedName name="solver_rel4" localSheetId="9" hidden="1">3</definedName>
    <definedName name="solver_rel5" localSheetId="9" hidden="1">3</definedName>
    <definedName name="solver_rel6" localSheetId="9" hidden="1">1</definedName>
    <definedName name="solver_rel7" localSheetId="9" hidden="1">1</definedName>
    <definedName name="solver_rel8" localSheetId="9" hidden="1">1</definedName>
    <definedName name="solver_rhs1" localSheetId="9" hidden="1">inteiro</definedName>
    <definedName name="solver_rhs2" localSheetId="9" hidden="1">0</definedName>
    <definedName name="solver_rhs3" localSheetId="9" hidden="1">'Exerc 9.3'!$J$10</definedName>
    <definedName name="solver_rhs4" localSheetId="9" hidden="1">'Exerc 9.3'!$J$11</definedName>
    <definedName name="solver_rhs5" localSheetId="9" hidden="1">'Exerc 9.3'!$J$12</definedName>
    <definedName name="solver_rhs6" localSheetId="9" hidden="1">'Exerc 9.3'!$G$10</definedName>
    <definedName name="solver_rhs7" localSheetId="9" hidden="1">'Exerc 9.3'!$G$11</definedName>
    <definedName name="solver_rhs8" localSheetId="9" hidden="1">'Exerc 9.3'!$G$12</definedName>
    <definedName name="solver_scl" localSheetId="9" hidden="1">2</definedName>
    <definedName name="solver_sho" localSheetId="9" hidden="1">2</definedName>
    <definedName name="solver_tim" localSheetId="9" hidden="1">100</definedName>
    <definedName name="solver_tol" localSheetId="9" hidden="1">0.05</definedName>
    <definedName name="solver_typ" localSheetId="9" hidden="1">2</definedName>
    <definedName name="solver_val" localSheetId="9" hidden="1">0</definedName>
  </definedNames>
  <calcPr fullCalcOnLoad="1"/>
  <pivotCaches>
    <pivotCache cacheId="4" r:id="rId15"/>
  </pivotCaches>
</workbook>
</file>

<file path=xl/sharedStrings.xml><?xml version="1.0" encoding="utf-8"?>
<sst xmlns="http://schemas.openxmlformats.org/spreadsheetml/2006/main" count="283" uniqueCount="154">
  <si>
    <t>Compras</t>
  </si>
  <si>
    <t>Vendas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</si>
  <si>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</si>
  <si>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</si>
  <si>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</si>
  <si>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</si>
  <si>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</si>
  <si>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</si>
  <si>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</si>
  <si>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</si>
  <si>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</si>
  <si>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</si>
  <si>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</si>
  <si>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</si>
  <si>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Funcionário</t>
  </si>
  <si>
    <t>Produto</t>
  </si>
  <si>
    <t>Preço Unitário</t>
  </si>
  <si>
    <t>Gervásio</t>
  </si>
  <si>
    <t>Henriques</t>
  </si>
  <si>
    <t>Simões</t>
  </si>
  <si>
    <t>café</t>
  </si>
  <si>
    <t>chá</t>
  </si>
  <si>
    <t>PVP</t>
  </si>
  <si>
    <t>Lucro</t>
  </si>
  <si>
    <t>IVA</t>
  </si>
  <si>
    <t>Receitas</t>
  </si>
  <si>
    <t>PVP s/Iva</t>
  </si>
  <si>
    <t>Despesas</t>
  </si>
  <si>
    <t>Mês</t>
  </si>
  <si>
    <t>DATA</t>
  </si>
  <si>
    <t>HORA</t>
  </si>
  <si>
    <t>Café</t>
  </si>
  <si>
    <t>Chá</t>
  </si>
  <si>
    <t>COMPRAS</t>
  </si>
  <si>
    <t>VENDAS</t>
  </si>
  <si>
    <t>LUCRO</t>
  </si>
  <si>
    <t>Margem de Lucro</t>
  </si>
  <si>
    <t>Dados</t>
  </si>
  <si>
    <t>(Tudo)</t>
  </si>
  <si>
    <t>Soma de Lucro</t>
  </si>
  <si>
    <t>Total Soma de Lucro</t>
  </si>
  <si>
    <t>Qnt Compras</t>
  </si>
  <si>
    <t>Qnt Vendas</t>
  </si>
  <si>
    <t>Aluno</t>
  </si>
  <si>
    <t>António</t>
  </si>
  <si>
    <t>Pedro</t>
  </si>
  <si>
    <t>Rui</t>
  </si>
  <si>
    <t>Sara</t>
  </si>
  <si>
    <t>Peso</t>
  </si>
  <si>
    <t>Trab II</t>
  </si>
  <si>
    <t>Trab I</t>
  </si>
  <si>
    <t>Exame</t>
  </si>
  <si>
    <t>Classificação Final</t>
  </si>
  <si>
    <t>Maria</t>
  </si>
  <si>
    <t>Apelido</t>
  </si>
  <si>
    <t>Nome</t>
  </si>
  <si>
    <t>Nome completo</t>
  </si>
  <si>
    <t>Vencimento</t>
  </si>
  <si>
    <t>Vencimento Líquido</t>
  </si>
  <si>
    <t>Impostos</t>
  </si>
  <si>
    <t>Baía</t>
  </si>
  <si>
    <t>Costa</t>
  </si>
  <si>
    <t>Couto</t>
  </si>
  <si>
    <t>Pinto</t>
  </si>
  <si>
    <t>Figo</t>
  </si>
  <si>
    <t>Vítor</t>
  </si>
  <si>
    <t>Fernando</t>
  </si>
  <si>
    <t>João</t>
  </si>
  <si>
    <t>Sá</t>
  </si>
  <si>
    <t>Luís</t>
  </si>
  <si>
    <t>Soma de Qnt Vendas</t>
  </si>
  <si>
    <t>Total Soma de Qnt Vendas</t>
  </si>
  <si>
    <t>Cenário</t>
  </si>
  <si>
    <t>Resultado sem impostos</t>
  </si>
  <si>
    <t>Imposto (40%)</t>
  </si>
  <si>
    <t>Resultado</t>
  </si>
  <si>
    <t>Receita por unidade</t>
  </si>
  <si>
    <t>Total global</t>
  </si>
  <si>
    <t>y</t>
  </si>
  <si>
    <t>F(y)</t>
  </si>
  <si>
    <t>F1</t>
  </si>
  <si>
    <t>F2</t>
  </si>
  <si>
    <t>F3</t>
  </si>
  <si>
    <t>A1</t>
  </si>
  <si>
    <t>A2</t>
  </si>
  <si>
    <t>A3</t>
  </si>
  <si>
    <t>Produções</t>
  </si>
  <si>
    <t>Necessidades</t>
  </si>
  <si>
    <t>Custos de Transporte</t>
  </si>
  <si>
    <t>Quantidades a fornecer</t>
  </si>
  <si>
    <t>Nota</t>
  </si>
  <si>
    <t>CLASSIFICAÇÃO</t>
  </si>
  <si>
    <t>Trab1</t>
  </si>
  <si>
    <t>Trab2</t>
  </si>
  <si>
    <t>Trabalhos</t>
  </si>
  <si>
    <t>Teste1</t>
  </si>
  <si>
    <t>Teste2</t>
  </si>
  <si>
    <t>Testes</t>
  </si>
  <si>
    <t>FINAL</t>
  </si>
  <si>
    <t>Teresa</t>
  </si>
  <si>
    <t>Manuel</t>
  </si>
  <si>
    <t>Média</t>
  </si>
  <si>
    <t>Nr: Positivas</t>
  </si>
  <si>
    <t>PESQUISA</t>
  </si>
  <si>
    <t>Nr: Negativas</t>
  </si>
  <si>
    <t>Nr: Orais</t>
  </si>
  <si>
    <t>Carlos</t>
  </si>
  <si>
    <t>Rita</t>
  </si>
  <si>
    <t>Ana</t>
  </si>
  <si>
    <t>X</t>
  </si>
  <si>
    <t>Signo</t>
  </si>
  <si>
    <t>Jan-Fev</t>
  </si>
  <si>
    <t>Fev-Mar</t>
  </si>
  <si>
    <t>Mar-Abr</t>
  </si>
  <si>
    <t>Abr-Mai</t>
  </si>
  <si>
    <t>Aquário</t>
  </si>
  <si>
    <t>Peixes</t>
  </si>
  <si>
    <t>Carneiro</t>
  </si>
  <si>
    <t>Touro</t>
  </si>
  <si>
    <t>Total</t>
  </si>
  <si>
    <t>Optimista</t>
  </si>
  <si>
    <t>Custo Mínimo</t>
  </si>
  <si>
    <t>Soma Ai</t>
  </si>
  <si>
    <t>Soma Fi</t>
  </si>
  <si>
    <t>Código</t>
  </si>
  <si>
    <t>Descrição</t>
  </si>
  <si>
    <t>Preço</t>
  </si>
  <si>
    <t>s/iva</t>
  </si>
  <si>
    <t>c/iva</t>
  </si>
  <si>
    <t>Maçãs</t>
  </si>
  <si>
    <t>Uvas</t>
  </si>
  <si>
    <t>Ameixas</t>
  </si>
  <si>
    <t>Morangos</t>
  </si>
  <si>
    <t>Nozes</t>
  </si>
  <si>
    <t>Iva</t>
  </si>
  <si>
    <t>Preço Uni.</t>
  </si>
  <si>
    <t>Qnt</t>
  </si>
  <si>
    <t>Valor</t>
  </si>
  <si>
    <t>c/ IVA</t>
  </si>
  <si>
    <t>Total Produtos c/iva a</t>
  </si>
  <si>
    <t>Fornecedor B</t>
  </si>
  <si>
    <t>Fornecedor C</t>
  </si>
  <si>
    <t>...</t>
  </si>
  <si>
    <t>Fornecedor Z</t>
  </si>
  <si>
    <t>Maçã</t>
  </si>
  <si>
    <t>Laranja</t>
  </si>
  <si>
    <t>Uva</t>
  </si>
  <si>
    <t>Banana</t>
  </si>
  <si>
    <t>Nr Fornecimentos</t>
  </si>
  <si>
    <t>AVISO</t>
  </si>
  <si>
    <t>Melhor fornecedor</t>
  </si>
  <si>
    <t>Melhor Preço</t>
  </si>
  <si>
    <t>Média Preços</t>
  </si>
  <si>
    <t>Pior Preço</t>
  </si>
</sst>
</file>

<file path=xl/styles.xml><?xml version="1.0" encoding="utf-8"?>
<styleSheet xmlns="http://schemas.openxmlformats.org/spreadsheetml/2006/main">
  <numFmts count="29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_-* #,##0.000\ _E_s_c_._-;\-* #,##0.000\ _E_s_c_._-;_-* &quot;-&quot;??\ _E_s_c_._-;_-@_-"/>
    <numFmt numFmtId="165" formatCode="_-* #,##0.0000\ _E_s_c_._-;\-* #,##0.0000\ _E_s_c_._-;_-* &quot;-&quot;??\ _E_s_c_._-;_-@_-"/>
    <numFmt numFmtId="166" formatCode="_-* #,##0.0\ _E_s_c_._-;\-* #,##0.0\ _E_s_c_._-;_-* &quot;-&quot;??\ _E_s_c_._-;_-@_-"/>
    <numFmt numFmtId="167" formatCode="_-* #,##0\ _E_s_c_._-;\-* #,##0\ _E_s_c_._-;_-* &quot;-&quot;??\ _E_s_c_._-;_-@_-"/>
    <numFmt numFmtId="168" formatCode="dd/mm/yy"/>
    <numFmt numFmtId="169" formatCode="0.00000"/>
    <numFmt numFmtId="170" formatCode="0.0000"/>
    <numFmt numFmtId="171" formatCode="0.000"/>
    <numFmt numFmtId="172" formatCode="#,##0.0"/>
    <numFmt numFmtId="173" formatCode="#,##0.00\ _E_s_c_."/>
    <numFmt numFmtId="174" formatCode="#,##0.00\ &quot;Esc.&quot;"/>
    <numFmt numFmtId="175" formatCode="#,##0.0\ &quot;Esc.&quot;"/>
    <numFmt numFmtId="176" formatCode="#,##0\ &quot;Esc.&quot;"/>
    <numFmt numFmtId="177" formatCode="0.0"/>
    <numFmt numFmtId="178" formatCode="0.000%"/>
    <numFmt numFmtId="179" formatCode="_-* #,##0.0\ &quot;Esc.&quot;_-;\-* #,##0.0\ &quot;Esc.&quot;_-;_-* &quot;-&quot;??\ &quot;Esc.&quot;_-;_-@_-"/>
    <numFmt numFmtId="180" formatCode="_-* #,##0\ &quot;Esc.&quot;_-;\-* #,##0\ &quot;Esc.&quot;_-;_-* &quot;-&quot;??\ &quot;Esc.&quot;_-;_-@_-"/>
    <numFmt numFmtId="181" formatCode="_-* #,##0.000\ &quot;Esc.&quot;_-;\-* #,##0.000\ &quot;Esc.&quot;_-;_-* &quot;-&quot;??\ &quot;Esc.&quot;_-;_-@_-"/>
    <numFmt numFmtId="182" formatCode="#,##0\ [$Esc.-816]"/>
    <numFmt numFmtId="183" formatCode="_([$€]* #,##0.00_);_([$€]* \(#,##0.00\);_([$€]* &quot;-&quot;??_);_(@_)"/>
    <numFmt numFmtId="184" formatCode="#,##0.0\ [$Esc.-816]"/>
  </numFmts>
  <fonts count="18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Univers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9" fontId="1" fillId="0" borderId="1" xfId="18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2" borderId="6" xfId="0" applyFont="1" applyFill="1" applyBorder="1" applyAlignment="1">
      <alignment horizontal="left" vertical="center"/>
    </xf>
    <xf numFmtId="49" fontId="2" fillId="2" borderId="1" xfId="18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9" fontId="1" fillId="0" borderId="10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20" fontId="1" fillId="0" borderId="14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9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3" fontId="1" fillId="0" borderId="24" xfId="0" applyNumberFormat="1" applyFont="1" applyBorder="1" applyAlignment="1">
      <alignment/>
    </xf>
    <xf numFmtId="180" fontId="1" fillId="0" borderId="25" xfId="16" applyNumberFormat="1" applyFont="1" applyBorder="1" applyAlignment="1">
      <alignment/>
    </xf>
    <xf numFmtId="180" fontId="1" fillId="0" borderId="26" xfId="16" applyNumberFormat="1" applyFont="1" applyBorder="1" applyAlignment="1">
      <alignment/>
    </xf>
    <xf numFmtId="180" fontId="1" fillId="0" borderId="27" xfId="16" applyNumberFormat="1" applyFont="1" applyBorder="1" applyAlignment="1">
      <alignment/>
    </xf>
    <xf numFmtId="180" fontId="1" fillId="0" borderId="28" xfId="16" applyNumberFormat="1" applyFont="1" applyBorder="1" applyAlignment="1">
      <alignment/>
    </xf>
    <xf numFmtId="180" fontId="1" fillId="0" borderId="29" xfId="16" applyNumberFormat="1" applyFont="1" applyBorder="1" applyAlignment="1">
      <alignment/>
    </xf>
    <xf numFmtId="180" fontId="1" fillId="0" borderId="25" xfId="16" applyNumberFormat="1" applyFont="1" applyBorder="1" applyAlignment="1">
      <alignment horizontal="right"/>
    </xf>
    <xf numFmtId="180" fontId="1" fillId="0" borderId="26" xfId="16" applyNumberFormat="1" applyFont="1" applyBorder="1" applyAlignment="1">
      <alignment horizontal="right"/>
    </xf>
    <xf numFmtId="180" fontId="1" fillId="0" borderId="27" xfId="16" applyNumberFormat="1" applyFont="1" applyBorder="1" applyAlignment="1">
      <alignment horizontal="right"/>
    </xf>
    <xf numFmtId="180" fontId="1" fillId="0" borderId="30" xfId="16" applyNumberFormat="1" applyFont="1" applyBorder="1" applyAlignment="1">
      <alignment/>
    </xf>
    <xf numFmtId="180" fontId="1" fillId="0" borderId="31" xfId="16" applyNumberFormat="1" applyFont="1" applyBorder="1" applyAlignment="1">
      <alignment/>
    </xf>
    <xf numFmtId="180" fontId="8" fillId="0" borderId="32" xfId="16" applyNumberFormat="1" applyFont="1" applyFill="1" applyBorder="1" applyAlignment="1">
      <alignment/>
    </xf>
    <xf numFmtId="180" fontId="1" fillId="0" borderId="10" xfId="16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17" xfId="0" applyNumberFormat="1" applyBorder="1" applyAlignment="1">
      <alignment/>
    </xf>
    <xf numFmtId="15" fontId="1" fillId="0" borderId="34" xfId="0" applyNumberFormat="1" applyFont="1" applyBorder="1" applyAlignment="1">
      <alignment horizontal="center" vertical="center"/>
    </xf>
    <xf numFmtId="15" fontId="1" fillId="0" borderId="33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180" fontId="0" fillId="0" borderId="26" xfId="16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26" xfId="16" applyNumberFormat="1" applyFont="1" applyBorder="1" applyAlignment="1">
      <alignment/>
    </xf>
    <xf numFmtId="0" fontId="0" fillId="3" borderId="26" xfId="0" applyFill="1" applyBorder="1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180" fontId="1" fillId="0" borderId="39" xfId="16" applyNumberFormat="1" applyFont="1" applyBorder="1" applyAlignment="1">
      <alignment vertical="center"/>
    </xf>
    <xf numFmtId="180" fontId="1" fillId="0" borderId="40" xfId="16" applyNumberFormat="1" applyFont="1" applyBorder="1" applyAlignment="1">
      <alignment vertical="center"/>
    </xf>
    <xf numFmtId="180" fontId="1" fillId="0" borderId="41" xfId="16" applyNumberFormat="1" applyFont="1" applyBorder="1" applyAlignment="1">
      <alignment vertical="center"/>
    </xf>
    <xf numFmtId="180" fontId="1" fillId="0" borderId="42" xfId="16" applyNumberFormat="1" applyFont="1" applyBorder="1" applyAlignment="1">
      <alignment/>
    </xf>
    <xf numFmtId="180" fontId="1" fillId="0" borderId="43" xfId="16" applyNumberFormat="1" applyFont="1" applyBorder="1" applyAlignment="1">
      <alignment/>
    </xf>
    <xf numFmtId="180" fontId="1" fillId="0" borderId="44" xfId="16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0" xfId="0" applyBorder="1" applyAlignment="1">
      <alignment horizontal="center"/>
    </xf>
    <xf numFmtId="9" fontId="10" fillId="0" borderId="0" xfId="0" applyNumberFormat="1" applyFont="1" applyAlignment="1">
      <alignment horizontal="center"/>
    </xf>
    <xf numFmtId="180" fontId="1" fillId="0" borderId="0" xfId="16" applyNumberFormat="1" applyFont="1" applyBorder="1" applyAlignment="1">
      <alignment/>
    </xf>
    <xf numFmtId="180" fontId="8" fillId="0" borderId="0" xfId="16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9" fontId="10" fillId="0" borderId="26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0" fillId="0" borderId="7" xfId="0" applyBorder="1" applyAlignment="1">
      <alignment/>
    </xf>
    <xf numFmtId="1" fontId="0" fillId="0" borderId="3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8" xfId="0" applyBorder="1" applyAlignment="1">
      <alignment/>
    </xf>
    <xf numFmtId="1" fontId="0" fillId="0" borderId="34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9" xfId="0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0" fontId="0" fillId="0" borderId="44" xfId="0" applyBorder="1" applyAlignment="1">
      <alignment horizontal="center"/>
    </xf>
    <xf numFmtId="1" fontId="10" fillId="0" borderId="45" xfId="0" applyNumberFormat="1" applyFont="1" applyBorder="1" applyAlignment="1">
      <alignment/>
    </xf>
    <xf numFmtId="0" fontId="10" fillId="0" borderId="46" xfId="0" applyFont="1" applyBorder="1" applyAlignment="1">
      <alignment/>
    </xf>
    <xf numFmtId="1" fontId="10" fillId="0" borderId="0" xfId="0" applyNumberFormat="1" applyFont="1" applyAlignment="1">
      <alignment/>
    </xf>
    <xf numFmtId="0" fontId="0" fillId="0" borderId="47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2" xfId="0" applyNumberFormat="1" applyBorder="1" applyAlignment="1">
      <alignment/>
    </xf>
    <xf numFmtId="0" fontId="0" fillId="0" borderId="48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Alignment="1">
      <alignment horizontal="left" vertical="top"/>
    </xf>
    <xf numFmtId="0" fontId="15" fillId="3" borderId="26" xfId="0" applyFont="1" applyFill="1" applyBorder="1" applyAlignment="1">
      <alignment horizontal="center" vertical="center" textRotation="45"/>
    </xf>
    <xf numFmtId="0" fontId="15" fillId="3" borderId="37" xfId="0" applyFont="1" applyFill="1" applyBorder="1" applyAlignment="1">
      <alignment horizontal="center" vertical="center" textRotation="45"/>
    </xf>
    <xf numFmtId="0" fontId="10" fillId="3" borderId="0" xfId="0" applyFont="1" applyFill="1" applyAlignment="1">
      <alignment/>
    </xf>
    <xf numFmtId="0" fontId="10" fillId="3" borderId="26" xfId="0" applyFont="1" applyFill="1" applyBorder="1" applyAlignment="1">
      <alignment/>
    </xf>
    <xf numFmtId="0" fontId="13" fillId="2" borderId="26" xfId="0" applyFont="1" applyFill="1" applyBorder="1" applyAlignment="1">
      <alignment/>
    </xf>
    <xf numFmtId="0" fontId="0" fillId="0" borderId="37" xfId="0" applyBorder="1" applyAlignment="1">
      <alignment horizontal="center"/>
    </xf>
    <xf numFmtId="0" fontId="13" fillId="2" borderId="49" xfId="0" applyFont="1" applyFill="1" applyBorder="1" applyAlignment="1">
      <alignment horizontal="center" vertical="center" textRotation="45"/>
    </xf>
    <xf numFmtId="0" fontId="16" fillId="2" borderId="50" xfId="0" applyFont="1" applyFill="1" applyBorder="1" applyAlignment="1">
      <alignment vertical="center"/>
    </xf>
    <xf numFmtId="176" fontId="1" fillId="0" borderId="42" xfId="16" applyNumberFormat="1" applyFont="1" applyBorder="1" applyAlignment="1">
      <alignment horizontal="right"/>
    </xf>
    <xf numFmtId="176" fontId="1" fillId="0" borderId="43" xfId="16" applyNumberFormat="1" applyFont="1" applyBorder="1" applyAlignment="1">
      <alignment horizontal="right"/>
    </xf>
    <xf numFmtId="176" fontId="1" fillId="0" borderId="44" xfId="16" applyNumberFormat="1" applyFont="1" applyBorder="1" applyAlignment="1">
      <alignment horizontal="right"/>
    </xf>
    <xf numFmtId="176" fontId="1" fillId="0" borderId="25" xfId="16" applyNumberFormat="1" applyFont="1" applyBorder="1" applyAlignment="1">
      <alignment/>
    </xf>
    <xf numFmtId="176" fontId="1" fillId="0" borderId="26" xfId="16" applyNumberFormat="1" applyFont="1" applyBorder="1" applyAlignment="1">
      <alignment/>
    </xf>
    <xf numFmtId="176" fontId="1" fillId="0" borderId="27" xfId="16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51" xfId="0" applyBorder="1" applyAlignment="1">
      <alignment/>
    </xf>
    <xf numFmtId="0" fontId="11" fillId="2" borderId="26" xfId="0" applyFont="1" applyFill="1" applyBorder="1" applyAlignment="1">
      <alignment horizontal="center"/>
    </xf>
    <xf numFmtId="0" fontId="11" fillId="2" borderId="26" xfId="0" applyFont="1" applyFill="1" applyBorder="1" applyAlignment="1">
      <alignment/>
    </xf>
    <xf numFmtId="0" fontId="11" fillId="2" borderId="52" xfId="0" applyFont="1" applyFill="1" applyBorder="1" applyAlignment="1">
      <alignment/>
    </xf>
    <xf numFmtId="0" fontId="11" fillId="2" borderId="52" xfId="0" applyFont="1" applyFill="1" applyBorder="1" applyAlignment="1">
      <alignment horizontal="center"/>
    </xf>
    <xf numFmtId="0" fontId="11" fillId="4" borderId="26" xfId="0" applyFont="1" applyFill="1" applyBorder="1" applyAlignment="1">
      <alignment/>
    </xf>
    <xf numFmtId="0" fontId="12" fillId="5" borderId="26" xfId="0" applyFont="1" applyFill="1" applyBorder="1" applyAlignment="1">
      <alignment/>
    </xf>
    <xf numFmtId="9" fontId="0" fillId="0" borderId="26" xfId="0" applyNumberFormat="1" applyBorder="1" applyAlignment="1">
      <alignment horizontal="center"/>
    </xf>
    <xf numFmtId="182" fontId="0" fillId="0" borderId="26" xfId="15" applyNumberFormat="1" applyBorder="1" applyAlignment="1">
      <alignment/>
    </xf>
    <xf numFmtId="184" fontId="0" fillId="0" borderId="26" xfId="0" applyNumberFormat="1" applyBorder="1" applyAlignment="1">
      <alignment/>
    </xf>
    <xf numFmtId="0" fontId="0" fillId="0" borderId="49" xfId="0" applyBorder="1" applyAlignment="1">
      <alignment horizontal="center"/>
    </xf>
    <xf numFmtId="175" fontId="0" fillId="0" borderId="53" xfId="16" applyNumberFormat="1" applyBorder="1" applyAlignment="1">
      <alignment horizontal="right"/>
    </xf>
    <xf numFmtId="176" fontId="0" fillId="0" borderId="53" xfId="0" applyNumberFormat="1" applyBorder="1" applyAlignment="1">
      <alignment/>
    </xf>
    <xf numFmtId="0" fontId="0" fillId="0" borderId="54" xfId="0" applyBorder="1" applyAlignment="1">
      <alignment horizontal="center"/>
    </xf>
    <xf numFmtId="175" fontId="0" fillId="0" borderId="52" xfId="16" applyNumberFormat="1" applyBorder="1" applyAlignment="1">
      <alignment horizontal="right"/>
    </xf>
    <xf numFmtId="176" fontId="0" fillId="0" borderId="52" xfId="0" applyNumberFormat="1" applyBorder="1" applyAlignment="1">
      <alignment/>
    </xf>
    <xf numFmtId="0" fontId="0" fillId="0" borderId="55" xfId="0" applyBorder="1" applyAlignment="1">
      <alignment horizontal="center"/>
    </xf>
    <xf numFmtId="176" fontId="0" fillId="0" borderId="56" xfId="0" applyNumberFormat="1" applyBorder="1" applyAlignment="1">
      <alignment/>
    </xf>
    <xf numFmtId="176" fontId="0" fillId="0" borderId="26" xfId="0" applyNumberFormat="1" applyBorder="1" applyAlignment="1">
      <alignment/>
    </xf>
    <xf numFmtId="9" fontId="0" fillId="0" borderId="57" xfId="0" applyNumberFormat="1" applyBorder="1" applyAlignment="1">
      <alignment horizontal="center"/>
    </xf>
    <xf numFmtId="0" fontId="0" fillId="0" borderId="53" xfId="0" applyBorder="1" applyAlignment="1">
      <alignment/>
    </xf>
    <xf numFmtId="9" fontId="0" fillId="0" borderId="53" xfId="18" applyBorder="1" applyAlignment="1">
      <alignment horizontal="center"/>
    </xf>
    <xf numFmtId="0" fontId="0" fillId="0" borderId="52" xfId="0" applyBorder="1" applyAlignment="1">
      <alignment/>
    </xf>
    <xf numFmtId="9" fontId="0" fillId="0" borderId="52" xfId="18" applyBorder="1" applyAlignment="1">
      <alignment horizontal="center"/>
    </xf>
    <xf numFmtId="0" fontId="0" fillId="0" borderId="56" xfId="0" applyBorder="1" applyAlignment="1">
      <alignment/>
    </xf>
    <xf numFmtId="9" fontId="0" fillId="0" borderId="56" xfId="18" applyBorder="1" applyAlignment="1">
      <alignment horizontal="center"/>
    </xf>
    <xf numFmtId="175" fontId="0" fillId="0" borderId="56" xfId="16" applyNumberFormat="1" applyBorder="1" applyAlignment="1">
      <alignment horizontal="right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6" xfId="0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2" borderId="32" xfId="0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75" fontId="0" fillId="0" borderId="0" xfId="0" applyNumberFormat="1" applyAlignment="1">
      <alignment/>
    </xf>
    <xf numFmtId="0" fontId="10" fillId="0" borderId="0" xfId="0" applyFont="1" applyAlignment="1">
      <alignment horizontal="center" vertical="center" textRotation="30"/>
    </xf>
    <xf numFmtId="3" fontId="5" fillId="2" borderId="58" xfId="0" applyNumberFormat="1" applyFont="1" applyFill="1" applyBorder="1" applyAlignment="1">
      <alignment horizontal="center"/>
    </xf>
    <xf numFmtId="0" fontId="5" fillId="2" borderId="59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6" fillId="2" borderId="60" xfId="0" applyFont="1" applyFill="1" applyBorder="1" applyAlignment="1">
      <alignment horizontal="center"/>
    </xf>
    <xf numFmtId="9" fontId="4" fillId="2" borderId="6" xfId="0" applyNumberFormat="1" applyFont="1" applyFill="1" applyBorder="1" applyAlignment="1">
      <alignment horizontal="center" vertical="center"/>
    </xf>
    <xf numFmtId="9" fontId="4" fillId="2" borderId="61" xfId="0" applyNumberFormat="1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9" fontId="4" fillId="2" borderId="63" xfId="0" applyNumberFormat="1" applyFont="1" applyFill="1" applyBorder="1" applyAlignment="1">
      <alignment horizontal="center" vertical="center"/>
    </xf>
    <xf numFmtId="9" fontId="4" fillId="2" borderId="12" xfId="0" applyNumberFormat="1" applyFont="1" applyFill="1" applyBorder="1" applyAlignment="1">
      <alignment horizontal="center" vertical="center"/>
    </xf>
    <xf numFmtId="0" fontId="14" fillId="0" borderId="34" xfId="0" applyFont="1" applyBorder="1" applyAlignment="1">
      <alignment horizontal="right"/>
    </xf>
    <xf numFmtId="0" fontId="14" fillId="0" borderId="37" xfId="0" applyFont="1" applyBorder="1" applyAlignment="1">
      <alignment horizontal="right"/>
    </xf>
    <xf numFmtId="0" fontId="14" fillId="0" borderId="35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3" fillId="2" borderId="0" xfId="0" applyFont="1" applyFill="1" applyAlignment="1">
      <alignment horizontal="center"/>
    </xf>
    <xf numFmtId="0" fontId="14" fillId="0" borderId="64" xfId="0" applyFont="1" applyBorder="1" applyAlignment="1">
      <alignment horizontal="right"/>
    </xf>
    <xf numFmtId="0" fontId="14" fillId="0" borderId="55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57" xfId="0" applyFont="1" applyFill="1" applyBorder="1" applyAlignment="1">
      <alignment horizontal="center"/>
    </xf>
    <xf numFmtId="0" fontId="17" fillId="0" borderId="0" xfId="0" applyFont="1" applyAlignment="1">
      <alignment horizontal="center" vertical="center" textRotation="90"/>
    </xf>
    <xf numFmtId="0" fontId="0" fillId="0" borderId="5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7" xfId="0" applyBorder="1" applyAlignment="1">
      <alignment horizontal="center"/>
    </xf>
  </cellXfs>
  <cellStyles count="7">
    <cellStyle name="Normal" xfId="0"/>
    <cellStyle name="Euro" xfId="15"/>
    <cellStyle name="Currency" xfId="16"/>
    <cellStyle name="Currency [0]" xfId="17"/>
    <cellStyle name="Percent" xfId="18"/>
    <cellStyle name="Comma [0]" xfId="19"/>
    <cellStyle name="Comma" xfId="20"/>
  </cellStyles>
  <dxfs count="2"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25</xdr:row>
      <xdr:rowOff>104775</xdr:rowOff>
    </xdr:from>
    <xdr:to>
      <xdr:col>12</xdr:col>
      <xdr:colOff>57150</xdr:colOff>
      <xdr:row>27</xdr:row>
      <xdr:rowOff>38100</xdr:rowOff>
    </xdr:to>
    <xdr:sp>
      <xdr:nvSpPr>
        <xdr:cNvPr id="1" name="AutoShape 12"/>
        <xdr:cNvSpPr>
          <a:spLocks/>
        </xdr:cNvSpPr>
      </xdr:nvSpPr>
      <xdr:spPr>
        <a:xfrm flipH="1">
          <a:off x="8039100" y="4200525"/>
          <a:ext cx="666750" cy="25717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K26" sheet="Exerc 6"/>
  </cacheSource>
  <cacheFields count="11">
    <cacheField name="Funcion?rio">
      <sharedItems containsMixedTypes="0" count="3">
        <s v="Gervásio"/>
        <s v="Henriques"/>
        <s v="Simões"/>
      </sharedItems>
    </cacheField>
    <cacheField name="M?s">
      <sharedItems containsMixedTypes="0"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Produto">
      <sharedItems containsMixedTypes="0" count="2">
        <s v="café"/>
        <s v="chá"/>
      </sharedItems>
    </cacheField>
    <cacheField name="Qnt Compras">
      <sharedItems containsSemiMixedTypes="0" containsString="0" containsMixedTypes="0" containsNumber="1" containsInteger="1" count="21">
        <n v="100"/>
        <n v="60"/>
        <n v="93"/>
        <n v="37"/>
        <n v="79"/>
        <n v="23"/>
        <n v="73"/>
        <n v="26"/>
        <n v="64"/>
        <n v="34"/>
        <n v="51"/>
        <n v="35"/>
        <n v="43"/>
        <n v="44"/>
        <n v="32"/>
        <n v="42"/>
        <n v="27"/>
        <n v="36"/>
        <n v="45"/>
        <n v="53"/>
        <n v="31"/>
      </sharedItems>
    </cacheField>
    <cacheField name="Pre?o Unit?rio">
      <sharedItems containsSemiMixedTypes="0" containsString="0" containsMixedTypes="0" containsNumber="1" containsInteger="1" count="24">
        <n v="97"/>
        <n v="43"/>
        <n v="102"/>
        <n v="44"/>
        <n v="107"/>
        <n v="45"/>
        <n v="112"/>
        <n v="46"/>
        <n v="118"/>
        <n v="47"/>
        <n v="124"/>
        <n v="48"/>
        <n v="130"/>
        <n v="49"/>
        <n v="137"/>
        <n v="50"/>
        <n v="144"/>
        <n v="52"/>
        <n v="151"/>
        <n v="54"/>
        <n v="159"/>
        <n v="56"/>
        <n v="167"/>
        <n v="58"/>
      </sharedItems>
    </cacheField>
    <cacheField name="Despesas">
      <sharedItems containsSemiMixedTypes="0" containsString="0" containsMixedTypes="0" containsNumber="1" containsInteger="1" count="24">
        <n v="11300"/>
        <n v="3000"/>
        <n v="11067"/>
        <n v="1887"/>
        <n v="9875"/>
        <n v="1219"/>
        <n v="9563"/>
        <n v="1404"/>
        <n v="8832"/>
        <n v="1870"/>
        <n v="7395"/>
        <n v="1960"/>
        <n v="6536"/>
        <n v="2508"/>
        <n v="5120"/>
        <n v="2478"/>
        <n v="4536"/>
        <n v="2257"/>
        <n v="6372"/>
        <n v="2016"/>
        <n v="8370"/>
        <n v="1782"/>
        <n v="10335"/>
        <n v="2108"/>
      </sharedItems>
    </cacheField>
    <cacheField name="Qnt Vendas">
      <sharedItems containsSemiMixedTypes="0" containsString="0" containsMixedTypes="0" containsNumber="1" containsInteger="1" count="20">
        <n v="93"/>
        <n v="37"/>
        <n v="79"/>
        <n v="23"/>
        <n v="73"/>
        <n v="26"/>
        <n v="64"/>
        <n v="34"/>
        <n v="51"/>
        <n v="35"/>
        <n v="43"/>
        <n v="44"/>
        <n v="32"/>
        <n v="42"/>
        <n v="27"/>
        <n v="36"/>
        <n v="45"/>
        <n v="53"/>
        <n v="31"/>
        <n v="98"/>
      </sharedItems>
    </cacheField>
    <cacheField name="PVP s/Iva">
      <sharedItems containsSemiMixedTypes="0" containsString="0" containsMixedTypes="0" containsNumber="1" containsInteger="1" count="24">
        <n v="121"/>
        <n v="54"/>
        <n v="130"/>
        <n v="56"/>
        <n v="138"/>
        <n v="58"/>
        <n v="147"/>
        <n v="60"/>
        <n v="157"/>
        <n v="63"/>
        <n v="167"/>
        <n v="65"/>
        <n v="178"/>
        <n v="67"/>
        <n v="190"/>
        <n v="70"/>
        <n v="203"/>
        <n v="73"/>
        <n v="216"/>
        <n v="77"/>
        <n v="231"/>
        <n v="81"/>
        <n v="245"/>
        <n v="85"/>
      </sharedItems>
    </cacheField>
    <cacheField name="PVP">
      <sharedItems containsSemiMixedTypes="0" containsString="0" containsMixedTypes="0" containsNumber="1" containsInteger="1" count="24">
        <n v="142"/>
        <n v="63"/>
        <n v="152"/>
        <n v="66"/>
        <n v="161"/>
        <n v="68"/>
        <n v="172"/>
        <n v="70"/>
        <n v="184"/>
        <n v="74"/>
        <n v="195"/>
        <n v="76"/>
        <n v="208"/>
        <n v="78"/>
        <n v="222"/>
        <n v="82"/>
        <n v="238"/>
        <n v="85"/>
        <n v="253"/>
        <n v="90"/>
        <n v="270"/>
        <n v="95"/>
        <n v="287"/>
        <n v="99"/>
      </sharedItems>
    </cacheField>
    <cacheField name="Receitas">
      <sharedItems containsSemiMixedTypes="0" containsString="0" containsMixedTypes="0" containsNumber="1" containsInteger="1" count="24">
        <n v="13206"/>
        <n v="2331"/>
        <n v="12008"/>
        <n v="1518"/>
        <n v="11753"/>
        <n v="1768"/>
        <n v="11008"/>
        <n v="2380"/>
        <n v="9384"/>
        <n v="2590"/>
        <n v="8385"/>
        <n v="3344"/>
        <n v="6656"/>
        <n v="3276"/>
        <n v="5994"/>
        <n v="3034"/>
        <n v="8568"/>
        <n v="2720"/>
        <n v="11385"/>
        <n v="2430"/>
        <n v="14310"/>
        <n v="2945"/>
        <n v="28126"/>
        <n v="3465"/>
      </sharedItems>
    </cacheField>
    <cacheField name="Lucro">
      <sharedItems containsSemiMixedTypes="0" containsString="0" containsMixedTypes="0" containsNumber="1" containsInteger="1" count="24">
        <n v="1906"/>
        <n v="-669"/>
        <n v="941"/>
        <n v="-369"/>
        <n v="1878"/>
        <n v="549"/>
        <n v="1445"/>
        <n v="976"/>
        <n v="552"/>
        <n v="720"/>
        <n v="990"/>
        <n v="1384"/>
        <n v="120"/>
        <n v="768"/>
        <n v="874"/>
        <n v="556"/>
        <n v="4032"/>
        <n v="463"/>
        <n v="5013"/>
        <n v="414"/>
        <n v="5940"/>
        <n v="1163"/>
        <n v="17791"/>
        <n v="135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4" dataOnRows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E12" firstHeaderRow="1" firstDataRow="2" firstDataCol="2" rowPageCount="1" colPageCount="1"/>
  <pivotFields count="11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 numFmtId="180"/>
    <pivotField compact="0" outline="0" subtotalTop="0" showAll="0" numFmtId="176"/>
    <pivotField dataField="1" compact="0" outline="0" subtotalTop="0" showAll="0"/>
    <pivotField compact="0" outline="0" subtotalTop="0" showAll="0" numFmtId="176"/>
    <pivotField compact="0" outline="0" subtotalTop="0" showAll="0" numFmtId="180"/>
    <pivotField compact="0" outline="0" subtotalTop="0" showAll="0" numFmtId="180"/>
    <pivotField dataField="1" compact="0" outline="0" subtotalTop="0" showAll="0" numFmtId="180"/>
  </pivotFields>
  <rowFields count="2">
    <field x="0"/>
    <field x="-2"/>
  </rowFields>
  <row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rowItems>
  <colFields count="1">
    <field x="2"/>
  </colFields>
  <colItems count="3">
    <i>
      <x/>
    </i>
    <i>
      <x v="1"/>
    </i>
    <i t="grand">
      <x/>
    </i>
  </colItems>
  <pageFields count="1">
    <pageField fld="1" hier="0"/>
  </pageFields>
  <dataFields count="2">
    <dataField name="Soma de Qnt Vendas" fld="6" baseField="0" baseItem="0"/>
    <dataField name="Soma de Lucro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bestFit="1" customWidth="1"/>
    <col min="2" max="2" width="6.28125" style="0" bestFit="1" customWidth="1"/>
    <col min="3" max="3" width="6.8515625" style="0" bestFit="1" customWidth="1"/>
    <col min="4" max="4" width="7.28125" style="0" bestFit="1" customWidth="1"/>
    <col min="5" max="5" width="23.57421875" style="0" customWidth="1"/>
  </cols>
  <sheetData>
    <row r="1" spans="1:5" s="42" customFormat="1" ht="12.75">
      <c r="A1" s="42" t="s">
        <v>43</v>
      </c>
      <c r="B1" s="42" t="s">
        <v>50</v>
      </c>
      <c r="C1" s="42" t="s">
        <v>49</v>
      </c>
      <c r="D1" s="42" t="s">
        <v>51</v>
      </c>
      <c r="E1" s="42" t="s">
        <v>52</v>
      </c>
    </row>
    <row r="2" spans="1:5" ht="12.75">
      <c r="A2" t="s">
        <v>44</v>
      </c>
      <c r="B2">
        <v>15</v>
      </c>
      <c r="C2">
        <v>14</v>
      </c>
      <c r="D2">
        <v>13</v>
      </c>
      <c r="E2">
        <f>B2*B$8+C2*C$8+D2*D$8</f>
        <v>13.3</v>
      </c>
    </row>
    <row r="3" spans="1:5" ht="12.75">
      <c r="A3" t="s">
        <v>53</v>
      </c>
      <c r="B3">
        <v>18</v>
      </c>
      <c r="C3">
        <v>16</v>
      </c>
      <c r="D3">
        <v>17</v>
      </c>
      <c r="E3">
        <f>B3*B$8+C3*C$8+D3*D$8</f>
        <v>17</v>
      </c>
    </row>
    <row r="4" spans="1:5" ht="12.75">
      <c r="A4" t="s">
        <v>45</v>
      </c>
      <c r="B4">
        <v>10</v>
      </c>
      <c r="C4">
        <v>10</v>
      </c>
      <c r="D4">
        <v>8</v>
      </c>
      <c r="E4">
        <f>B4*B$8+C4*C$8+D4*D$8</f>
        <v>8.4</v>
      </c>
    </row>
    <row r="5" spans="1:5" ht="12.75">
      <c r="A5" t="s">
        <v>46</v>
      </c>
      <c r="B5">
        <v>14</v>
      </c>
      <c r="C5">
        <v>13</v>
      </c>
      <c r="D5">
        <v>18</v>
      </c>
      <c r="E5">
        <f>B5*B$8+C5*C$8+D5*D$8</f>
        <v>17.1</v>
      </c>
    </row>
    <row r="6" spans="1:5" ht="12.75">
      <c r="A6" t="s">
        <v>47</v>
      </c>
      <c r="B6">
        <v>13</v>
      </c>
      <c r="C6">
        <v>14</v>
      </c>
      <c r="D6">
        <v>8</v>
      </c>
      <c r="E6">
        <f>B6*B$8+C6*C$8+D6*D$8</f>
        <v>9.100000000000001</v>
      </c>
    </row>
    <row r="8" spans="1:5" ht="12.75">
      <c r="A8" t="s">
        <v>48</v>
      </c>
      <c r="B8" s="41">
        <v>0.1</v>
      </c>
      <c r="C8" s="41">
        <v>0.1</v>
      </c>
      <c r="D8" s="41">
        <v>0.8</v>
      </c>
      <c r="E8" s="41">
        <f>SUM(B8:D8)</f>
        <v>1</v>
      </c>
    </row>
  </sheetData>
  <conditionalFormatting sqref="E7">
    <cfRule type="cellIs" priority="1" dxfId="0" operator="between" stopIfTrue="1">
      <formula>9</formula>
      <formula>9.9</formula>
    </cfRule>
    <cfRule type="cellIs" priority="2" dxfId="1" operator="greaterThan" stopIfTrue="1">
      <formula>16</formula>
    </cfRule>
  </conditionalFormatting>
  <conditionalFormatting sqref="E8">
    <cfRule type="cellIs" priority="3" dxfId="0" operator="notEqual" stopIfTrue="1">
      <formula>1</formula>
    </cfRule>
  </conditionalFormatting>
  <conditionalFormatting sqref="E2:E6">
    <cfRule type="cellIs" priority="4" dxfId="0" operator="lessThan" stopIfTrue="1">
      <formula>10</formula>
    </cfRule>
    <cfRule type="expression" priority="5" dxfId="1" stopIfTrue="1">
      <formula>MAX(E$2:E$6)=E2</formula>
    </cfRule>
  </conditionalFormatting>
  <dataValidations count="1">
    <dataValidation type="whole" allowBlank="1" showInputMessage="1" showErrorMessage="1" promptTitle="Atenção" prompt="Introduza apenas valores entre 0 e 20" errorTitle="Aviso de erro" error="O valor que introduziu não se situa entre os limites indicados" sqref="B2:D6">
      <formula1>0</formula1>
      <formula2>20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:D1"/>
    </sheetView>
  </sheetViews>
  <sheetFormatPr defaultColWidth="9.140625" defaultRowHeight="12.75"/>
  <cols>
    <col min="1" max="8" width="8.7109375" style="0" customWidth="1"/>
  </cols>
  <sheetData>
    <row r="1" spans="1:4" ht="12.75">
      <c r="A1" s="197" t="s">
        <v>89</v>
      </c>
      <c r="B1" s="197"/>
      <c r="C1" s="197"/>
      <c r="D1" s="197"/>
    </row>
    <row r="2" spans="1:5" ht="12.75">
      <c r="A2" s="140"/>
      <c r="B2" s="139" t="s">
        <v>83</v>
      </c>
      <c r="C2" s="139" t="s">
        <v>84</v>
      </c>
      <c r="D2" s="139" t="s">
        <v>85</v>
      </c>
      <c r="E2" s="142" t="s">
        <v>123</v>
      </c>
    </row>
    <row r="3" spans="1:7" ht="12.75">
      <c r="A3" s="140" t="s">
        <v>80</v>
      </c>
      <c r="B3" s="144">
        <v>0</v>
      </c>
      <c r="C3" s="144">
        <v>60</v>
      </c>
      <c r="D3" s="144">
        <v>20</v>
      </c>
      <c r="E3" s="63">
        <f>SUM(B3:D3)</f>
        <v>80</v>
      </c>
      <c r="G3" s="63">
        <f>B3*B10+C3*C10+D3*D10</f>
        <v>100</v>
      </c>
    </row>
    <row r="4" spans="1:7" ht="12.75">
      <c r="A4" s="140" t="s">
        <v>81</v>
      </c>
      <c r="B4" s="144">
        <v>50</v>
      </c>
      <c r="C4" s="144">
        <v>0</v>
      </c>
      <c r="D4" s="144">
        <v>0</v>
      </c>
      <c r="E4" s="63">
        <f>SUM(B4:D4)</f>
        <v>50</v>
      </c>
      <c r="G4" s="63">
        <f>B4*B11+C4*C11+D4*D11</f>
        <v>100</v>
      </c>
    </row>
    <row r="5" spans="1:7" ht="12.75">
      <c r="A5" s="140" t="s">
        <v>82</v>
      </c>
      <c r="B5" s="144">
        <v>70</v>
      </c>
      <c r="C5" s="144">
        <v>0</v>
      </c>
      <c r="D5" s="144">
        <v>50</v>
      </c>
      <c r="E5" s="63">
        <f>SUM(B5:D5)</f>
        <v>120</v>
      </c>
      <c r="G5" s="63">
        <f>B5*B12+C5*C12+D5*D12</f>
        <v>260</v>
      </c>
    </row>
    <row r="6" spans="1:7" ht="12.75">
      <c r="A6" s="141" t="s">
        <v>122</v>
      </c>
      <c r="B6" s="63">
        <f>SUM(B3:B5)</f>
        <v>120</v>
      </c>
      <c r="C6" s="63">
        <f>SUM(C3:C5)</f>
        <v>60</v>
      </c>
      <c r="D6" s="63">
        <f>SUM(D3:D5)</f>
        <v>70</v>
      </c>
      <c r="E6" s="198" t="s">
        <v>121</v>
      </c>
      <c r="F6" s="199"/>
      <c r="G6" s="143">
        <f>SUM(G3:G5)</f>
        <v>460</v>
      </c>
    </row>
    <row r="8" spans="1:4" ht="12.75">
      <c r="A8" s="197" t="s">
        <v>88</v>
      </c>
      <c r="B8" s="197"/>
      <c r="C8" s="197"/>
      <c r="D8" s="197"/>
    </row>
    <row r="9" spans="1:10" ht="12.75">
      <c r="A9" s="140"/>
      <c r="B9" s="139" t="s">
        <v>83</v>
      </c>
      <c r="C9" s="139" t="s">
        <v>84</v>
      </c>
      <c r="D9" s="139" t="s">
        <v>85</v>
      </c>
      <c r="F9" s="197" t="s">
        <v>86</v>
      </c>
      <c r="G9" s="197"/>
      <c r="I9" s="197" t="s">
        <v>87</v>
      </c>
      <c r="J9" s="197"/>
    </row>
    <row r="10" spans="1:10" ht="12.75">
      <c r="A10" s="140" t="s">
        <v>80</v>
      </c>
      <c r="B10" s="63">
        <v>4</v>
      </c>
      <c r="C10" s="63">
        <v>1</v>
      </c>
      <c r="D10" s="63">
        <v>2</v>
      </c>
      <c r="F10" s="63" t="s">
        <v>80</v>
      </c>
      <c r="G10" s="63">
        <v>100</v>
      </c>
      <c r="I10" s="63" t="s">
        <v>83</v>
      </c>
      <c r="J10" s="63">
        <v>120</v>
      </c>
    </row>
    <row r="11" spans="1:10" ht="12.75">
      <c r="A11" s="140" t="s">
        <v>81</v>
      </c>
      <c r="B11" s="63">
        <v>2</v>
      </c>
      <c r="C11" s="63">
        <v>4</v>
      </c>
      <c r="D11" s="63">
        <v>3</v>
      </c>
      <c r="F11" s="63" t="s">
        <v>81</v>
      </c>
      <c r="G11" s="63">
        <v>50</v>
      </c>
      <c r="I11" s="63" t="s">
        <v>84</v>
      </c>
      <c r="J11" s="63">
        <v>60</v>
      </c>
    </row>
    <row r="12" spans="1:10" ht="12.75">
      <c r="A12" s="140" t="s">
        <v>82</v>
      </c>
      <c r="B12" s="63">
        <v>3</v>
      </c>
      <c r="C12" s="63">
        <v>2</v>
      </c>
      <c r="D12" s="63">
        <v>1</v>
      </c>
      <c r="F12" s="63" t="s">
        <v>82</v>
      </c>
      <c r="G12" s="63">
        <v>120</v>
      </c>
      <c r="I12" s="63" t="s">
        <v>85</v>
      </c>
      <c r="J12" s="63">
        <v>70</v>
      </c>
    </row>
    <row r="14" spans="6:11" ht="12.75">
      <c r="F14" s="83"/>
      <c r="G14" s="83"/>
      <c r="H14" s="83"/>
      <c r="I14" s="83"/>
      <c r="J14" s="83"/>
      <c r="K14" s="83"/>
    </row>
    <row r="15" ht="12.75">
      <c r="F15" s="83"/>
    </row>
    <row r="16" ht="12.75">
      <c r="F16" s="83"/>
    </row>
    <row r="17" ht="12.75">
      <c r="F17" s="83"/>
    </row>
  </sheetData>
  <mergeCells count="5">
    <mergeCell ref="F9:G9"/>
    <mergeCell ref="I9:J9"/>
    <mergeCell ref="A8:D8"/>
    <mergeCell ref="A1:D1"/>
    <mergeCell ref="E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"/>
    </sheetView>
  </sheetViews>
  <sheetFormatPr defaultColWidth="9.140625" defaultRowHeight="12.75"/>
  <cols>
    <col min="2" max="2" width="15.8515625" style="0" customWidth="1"/>
    <col min="4" max="4" width="13.421875" style="0" customWidth="1"/>
    <col min="6" max="6" width="11.57421875" style="0" bestFit="1" customWidth="1"/>
  </cols>
  <sheetData>
    <row r="1" spans="1:6" ht="12.75">
      <c r="A1" s="91" t="s">
        <v>124</v>
      </c>
      <c r="B1" s="91" t="s">
        <v>125</v>
      </c>
      <c r="C1" s="91" t="s">
        <v>134</v>
      </c>
      <c r="D1" s="91" t="s">
        <v>135</v>
      </c>
      <c r="E1" s="91" t="s">
        <v>136</v>
      </c>
      <c r="F1" s="91" t="s">
        <v>137</v>
      </c>
    </row>
    <row r="2" spans="1:6" ht="12.75">
      <c r="A2" s="92"/>
      <c r="B2" s="92"/>
      <c r="C2" s="92"/>
      <c r="D2" s="91" t="s">
        <v>138</v>
      </c>
      <c r="E2" s="92"/>
      <c r="F2" s="92"/>
    </row>
    <row r="3" spans="1:6" ht="12.75">
      <c r="A3" s="148">
        <v>10</v>
      </c>
      <c r="B3" s="158" t="str">
        <f>IF(A3,VLOOKUP(A3,'Exerc 10 - Preços'!$A$3:$E$7,2,FALSE),"")</f>
        <v>Maçãs</v>
      </c>
      <c r="C3" s="159">
        <f>IF(A3,VLOOKUP(A3,'Exerc 10 - Preços'!$A$3:$E$7,3,FALSE),"")</f>
        <v>0.05</v>
      </c>
      <c r="D3" s="149">
        <f>IF(A3,VLOOKUP(A3,'Exerc 10 - Preços'!$A$3:$E$7,5,FALSE),"")</f>
        <v>73.5</v>
      </c>
      <c r="E3" s="165">
        <v>5</v>
      </c>
      <c r="F3" s="150">
        <f aca="true" t="shared" si="0" ref="F3:F8">IF(A3,ROUND(E3*D3,0),"")</f>
        <v>368</v>
      </c>
    </row>
    <row r="4" spans="1:6" ht="12.75">
      <c r="A4" s="151">
        <v>40</v>
      </c>
      <c r="B4" s="160" t="str">
        <f>IF(A4,VLOOKUP(A4,'Exerc 10 - Preços'!$A$3:$E$7,2,FALSE),"")</f>
        <v>Morangos</v>
      </c>
      <c r="C4" s="161">
        <f>IF(A4,VLOOKUP(A4,'Exerc 10 - Preços'!$A$3:$E$7,3,FALSE),"")</f>
        <v>0.17</v>
      </c>
      <c r="D4" s="152">
        <f>IF(A4,VLOOKUP(A4,'Exerc 10 - Preços'!$A$3:$E$7,5,FALSE),"")</f>
        <v>585</v>
      </c>
      <c r="E4" s="166">
        <v>2</v>
      </c>
      <c r="F4" s="153">
        <f t="shared" si="0"/>
        <v>1170</v>
      </c>
    </row>
    <row r="5" spans="1:6" ht="12.75">
      <c r="A5" s="151">
        <v>50</v>
      </c>
      <c r="B5" s="160" t="str">
        <f>IF(A5,VLOOKUP(A5,'Exerc 10 - Preços'!$A$3:$E$7,2,FALSE),"")</f>
        <v>Nozes</v>
      </c>
      <c r="C5" s="161">
        <f>IF(A5,VLOOKUP(A5,'Exerc 10 - Preços'!$A$3:$E$7,3,FALSE),"")</f>
        <v>0.12</v>
      </c>
      <c r="D5" s="152">
        <f>IF(A5,VLOOKUP(A5,'Exerc 10 - Preços'!$A$3:$E$7,5,FALSE),"")</f>
        <v>336.00000000000006</v>
      </c>
      <c r="E5" s="166">
        <v>3</v>
      </c>
      <c r="F5" s="153">
        <f t="shared" si="0"/>
        <v>1008</v>
      </c>
    </row>
    <row r="6" spans="1:6" ht="12.75">
      <c r="A6" s="151">
        <v>30</v>
      </c>
      <c r="B6" s="160" t="str">
        <f>IF(A6,VLOOKUP(A6,'Exerc 10 - Preços'!$A$3:$E$7,2,FALSE),"")</f>
        <v>Ameixas</v>
      </c>
      <c r="C6" s="161">
        <f>IF(A6,VLOOKUP(A6,'Exerc 10 - Preços'!$A$3:$E$7,3,FALSE),"")</f>
        <v>0.05</v>
      </c>
      <c r="D6" s="152">
        <f>IF(A6,VLOOKUP(A6,'Exerc 10 - Preços'!$A$3:$E$7,5,FALSE),"")</f>
        <v>262.5</v>
      </c>
      <c r="E6" s="166">
        <v>4</v>
      </c>
      <c r="F6" s="153">
        <f t="shared" si="0"/>
        <v>1050</v>
      </c>
    </row>
    <row r="7" spans="1:6" ht="12.75">
      <c r="A7" s="151"/>
      <c r="B7" s="160">
        <f>IF(A7,VLOOKUP(A7,'Exerc 10 - Preços'!$A$3:$E$7,2,FALSE),"")</f>
      </c>
      <c r="C7" s="161">
        <f>IF(A7,VLOOKUP(A7,'Exerc 10 - Preços'!$A$3:$E$7,3,FALSE),"")</f>
      </c>
      <c r="D7" s="152">
        <f>IF(A7,VLOOKUP(A7,'Exerc 10 - Preços'!$A$3:$E$7,5,FALSE),"")</f>
      </c>
      <c r="E7" s="166"/>
      <c r="F7" s="153">
        <f t="shared" si="0"/>
      </c>
    </row>
    <row r="8" spans="1:6" ht="12.75">
      <c r="A8" s="154"/>
      <c r="B8" s="162">
        <f>IF(A8,VLOOKUP(A8,'Exerc 10 - Preços'!$A$3:$E$7,2,FALSE),"")</f>
      </c>
      <c r="C8" s="163">
        <f>IF(A8,VLOOKUP(A8,'Exerc 10 - Preços'!$A$3:$E$7,3,FALSE),"")</f>
      </c>
      <c r="D8" s="164">
        <f>IF(A8,VLOOKUP(A8,'Exerc 10 - Preços'!$A$3:$E$7,5,FALSE),"")</f>
      </c>
      <c r="E8" s="167"/>
      <c r="F8" s="155">
        <f t="shared" si="0"/>
      </c>
    </row>
    <row r="9" spans="3:6" ht="12.75">
      <c r="C9" s="201" t="s">
        <v>119</v>
      </c>
      <c r="D9" s="202"/>
      <c r="E9" s="203"/>
      <c r="F9" s="155">
        <f>SUM(F3:F8)</f>
        <v>3596</v>
      </c>
    </row>
    <row r="10" spans="3:6" ht="12.75">
      <c r="C10" s="204" t="s">
        <v>139</v>
      </c>
      <c r="D10" s="205"/>
      <c r="E10" s="157">
        <v>0.05</v>
      </c>
      <c r="F10" s="156">
        <f>SUMIF(C$3:C$8,E10,F$3:F$8)</f>
        <v>1418</v>
      </c>
    </row>
    <row r="11" spans="3:6" ht="12.75">
      <c r="C11" s="204" t="s">
        <v>139</v>
      </c>
      <c r="D11" s="205"/>
      <c r="E11" s="157">
        <v>0.12</v>
      </c>
      <c r="F11" s="156">
        <f>SUMIF(C$3:C$8,E11,F$3:F$8)</f>
        <v>1008</v>
      </c>
    </row>
    <row r="12" spans="3:6" ht="12.75">
      <c r="C12" s="204" t="s">
        <v>139</v>
      </c>
      <c r="D12" s="205"/>
      <c r="E12" s="157">
        <v>0.17</v>
      </c>
      <c r="F12" s="156">
        <f>SUMIF(C$3:C$8,E12,F$3:F$8)</f>
        <v>1170</v>
      </c>
    </row>
  </sheetData>
  <mergeCells count="4">
    <mergeCell ref="C9:E9"/>
    <mergeCell ref="C10:D10"/>
    <mergeCell ref="C11:D11"/>
    <mergeCell ref="C12:D12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8.7109375" style="0" customWidth="1"/>
    <col min="4" max="4" width="11.00390625" style="0" customWidth="1"/>
    <col min="5" max="5" width="10.00390625" style="0" bestFit="1" customWidth="1"/>
  </cols>
  <sheetData>
    <row r="1" spans="1:5" ht="12.75">
      <c r="A1" s="91" t="s">
        <v>124</v>
      </c>
      <c r="B1" s="91" t="s">
        <v>125</v>
      </c>
      <c r="C1" s="91" t="s">
        <v>24</v>
      </c>
      <c r="D1" s="91" t="s">
        <v>126</v>
      </c>
      <c r="E1" s="91" t="s">
        <v>126</v>
      </c>
    </row>
    <row r="2" spans="1:5" ht="12.75">
      <c r="A2" s="91" t="s">
        <v>15</v>
      </c>
      <c r="B2" s="91" t="s">
        <v>15</v>
      </c>
      <c r="C2" s="91"/>
      <c r="D2" s="91" t="s">
        <v>127</v>
      </c>
      <c r="E2" s="91" t="s">
        <v>128</v>
      </c>
    </row>
    <row r="3" spans="1:5" ht="12.75">
      <c r="A3" s="81">
        <v>10</v>
      </c>
      <c r="B3" s="63" t="s">
        <v>129</v>
      </c>
      <c r="C3" s="145">
        <v>0.05</v>
      </c>
      <c r="D3" s="146">
        <v>70</v>
      </c>
      <c r="E3" s="147">
        <f>D3*(1+C3)</f>
        <v>73.5</v>
      </c>
    </row>
    <row r="4" spans="1:5" ht="12.75">
      <c r="A4" s="81">
        <v>20</v>
      </c>
      <c r="B4" s="63" t="s">
        <v>130</v>
      </c>
      <c r="C4" s="145">
        <v>0.12</v>
      </c>
      <c r="D4" s="146">
        <v>150</v>
      </c>
      <c r="E4" s="147">
        <f>D4*(1+C4)</f>
        <v>168.00000000000003</v>
      </c>
    </row>
    <row r="5" spans="1:5" ht="12.75">
      <c r="A5" s="81">
        <v>30</v>
      </c>
      <c r="B5" s="63" t="s">
        <v>131</v>
      </c>
      <c r="C5" s="145">
        <v>0.05</v>
      </c>
      <c r="D5" s="146">
        <v>250</v>
      </c>
      <c r="E5" s="147">
        <f>D5*(1+C5)</f>
        <v>262.5</v>
      </c>
    </row>
    <row r="6" spans="1:5" ht="12.75">
      <c r="A6" s="81">
        <v>40</v>
      </c>
      <c r="B6" s="63" t="s">
        <v>132</v>
      </c>
      <c r="C6" s="145">
        <v>0.17</v>
      </c>
      <c r="D6" s="146">
        <v>500</v>
      </c>
      <c r="E6" s="147">
        <f>D6*(1+C6)</f>
        <v>585</v>
      </c>
    </row>
    <row r="7" spans="1:5" ht="12.75">
      <c r="A7" s="81">
        <v>50</v>
      </c>
      <c r="B7" s="63" t="s">
        <v>133</v>
      </c>
      <c r="C7" s="145">
        <v>0.12</v>
      </c>
      <c r="D7" s="146">
        <v>300</v>
      </c>
      <c r="E7" s="147">
        <f>D7*(1+C7)</f>
        <v>336.00000000000006</v>
      </c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bestFit="1" customWidth="1"/>
    <col min="2" max="3" width="13.421875" style="0" bestFit="1" customWidth="1"/>
    <col min="4" max="24" width="0" style="0" hidden="1" customWidth="1"/>
    <col min="25" max="25" width="8.28125" style="0" customWidth="1"/>
    <col min="26" max="26" width="13.140625" style="0" bestFit="1" customWidth="1"/>
  </cols>
  <sheetData>
    <row r="1" spans="1:26" ht="13.5" thickBot="1">
      <c r="A1" s="168" t="s">
        <v>15</v>
      </c>
      <c r="B1" s="169" t="s">
        <v>140</v>
      </c>
      <c r="C1" s="169" t="s">
        <v>141</v>
      </c>
      <c r="D1" s="173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 t="s">
        <v>142</v>
      </c>
      <c r="Z1" s="171" t="s">
        <v>143</v>
      </c>
    </row>
    <row r="2" spans="1:26" ht="12.75">
      <c r="A2" t="s">
        <v>144</v>
      </c>
      <c r="B2" s="30">
        <v>50</v>
      </c>
      <c r="C2" s="30">
        <v>54</v>
      </c>
      <c r="D2" s="172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>
        <v>52</v>
      </c>
    </row>
    <row r="3" spans="1:26" ht="12.75">
      <c r="A3" t="s">
        <v>145</v>
      </c>
      <c r="B3" s="30">
        <v>63</v>
      </c>
      <c r="C3" s="30">
        <v>61</v>
      </c>
      <c r="D3" s="172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>
        <v>65</v>
      </c>
    </row>
    <row r="4" spans="1:26" ht="12.75">
      <c r="A4" t="s">
        <v>146</v>
      </c>
      <c r="B4" s="30">
        <v>102</v>
      </c>
      <c r="C4" s="30">
        <v>105</v>
      </c>
      <c r="D4" s="172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>
        <v>100</v>
      </c>
    </row>
    <row r="5" spans="1:26" ht="12.75">
      <c r="A5" t="s">
        <v>147</v>
      </c>
      <c r="B5" s="30">
        <v>73</v>
      </c>
      <c r="C5" s="30">
        <v>71</v>
      </c>
      <c r="D5" s="17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>
        <v>74</v>
      </c>
    </row>
    <row r="6" spans="1:26" ht="25.5" customHeight="1">
      <c r="A6" s="200" t="s">
        <v>142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</row>
    <row r="7" ht="12.75" hidden="1">
      <c r="D7" s="170"/>
    </row>
    <row r="8" ht="12.75" hidden="1">
      <c r="D8" s="170"/>
    </row>
    <row r="9" ht="12.75" hidden="1">
      <c r="D9" s="170"/>
    </row>
    <row r="10" ht="12.75" hidden="1">
      <c r="D10" s="170"/>
    </row>
    <row r="11" ht="12.75" hidden="1">
      <c r="D11" s="170"/>
    </row>
    <row r="12" ht="12.75" hidden="1">
      <c r="D12" s="170"/>
    </row>
    <row r="13" ht="12.75" hidden="1">
      <c r="D13" s="170"/>
    </row>
    <row r="14" ht="12.75" hidden="1">
      <c r="D14" s="170"/>
    </row>
    <row r="15" ht="12.75" hidden="1">
      <c r="D15" s="170"/>
    </row>
    <row r="16" ht="12.75" hidden="1">
      <c r="D16" s="170"/>
    </row>
    <row r="17" ht="12.75" hidden="1">
      <c r="D17" s="170"/>
    </row>
    <row r="18" ht="12.75" hidden="1">
      <c r="D18" s="170"/>
    </row>
    <row r="19" ht="12.75" hidden="1">
      <c r="D19" s="170"/>
    </row>
    <row r="20" ht="12.75" hidden="1">
      <c r="D20" s="170"/>
    </row>
    <row r="21" ht="12.75" hidden="1">
      <c r="D21" s="170"/>
    </row>
    <row r="22" ht="12.75" hidden="1">
      <c r="D22" s="170"/>
    </row>
    <row r="23" ht="12.75" hidden="1">
      <c r="D23" s="170"/>
    </row>
    <row r="24" ht="12.75" hidden="1">
      <c r="D24" s="170"/>
    </row>
    <row r="25" ht="12.75" hidden="1">
      <c r="D25" s="170"/>
    </row>
    <row r="26" ht="12.75" hidden="1">
      <c r="D26" s="170"/>
    </row>
    <row r="27" ht="12.75" hidden="1">
      <c r="D27" s="170"/>
    </row>
    <row r="28" ht="12.75" hidden="1">
      <c r="D28" s="170"/>
    </row>
    <row r="29" ht="12.75" hidden="1">
      <c r="D29" s="170"/>
    </row>
    <row r="30" ht="12.75" hidden="1">
      <c r="D30" s="170"/>
    </row>
    <row r="31" ht="12.75" hidden="1">
      <c r="D31" s="170"/>
    </row>
    <row r="32" ht="12.75" hidden="1">
      <c r="D32" s="170"/>
    </row>
    <row r="33" ht="12.75" hidden="1">
      <c r="D33" s="170"/>
    </row>
    <row r="34" ht="12.75" hidden="1">
      <c r="D34" s="170"/>
    </row>
    <row r="35" ht="12.75" hidden="1">
      <c r="D35" s="170"/>
    </row>
    <row r="36" ht="12.75" hidden="1">
      <c r="D36" s="170"/>
    </row>
    <row r="37" ht="12.75" hidden="1">
      <c r="D37" s="170"/>
    </row>
    <row r="38" ht="12.75" hidden="1">
      <c r="D38" s="170"/>
    </row>
    <row r="39" ht="12.75" hidden="1">
      <c r="D39" s="170"/>
    </row>
    <row r="40" ht="12.75" hidden="1">
      <c r="D40" s="170"/>
    </row>
    <row r="41" ht="12.75" hidden="1">
      <c r="D41" s="170"/>
    </row>
    <row r="42" ht="12.75" hidden="1">
      <c r="D42" s="170"/>
    </row>
    <row r="43" ht="12.75" hidden="1">
      <c r="D43" s="170"/>
    </row>
    <row r="44" ht="12.75" hidden="1">
      <c r="D44" s="170"/>
    </row>
    <row r="45" ht="12.75" hidden="1">
      <c r="D45" s="170"/>
    </row>
    <row r="46" ht="12.75" hidden="1">
      <c r="D46" s="170"/>
    </row>
    <row r="47" ht="12.75" hidden="1">
      <c r="D47" s="170"/>
    </row>
    <row r="48" ht="12.75" hidden="1">
      <c r="D48" s="170"/>
    </row>
    <row r="49" ht="12.75" hidden="1">
      <c r="D49" s="170"/>
    </row>
    <row r="50" ht="12.75" hidden="1">
      <c r="D50" s="170"/>
    </row>
    <row r="51" ht="12.75" hidden="1">
      <c r="D51" s="170"/>
    </row>
    <row r="52" ht="12.75" hidden="1">
      <c r="D52" s="170"/>
    </row>
    <row r="53" ht="12.75" hidden="1">
      <c r="D53" s="170"/>
    </row>
    <row r="54" ht="12.75" hidden="1">
      <c r="D54" s="170"/>
    </row>
    <row r="55" ht="12.75" hidden="1">
      <c r="D55" s="170"/>
    </row>
    <row r="56" ht="12.75" hidden="1">
      <c r="D56" s="170"/>
    </row>
    <row r="57" ht="12.75" hidden="1">
      <c r="D57" s="170"/>
    </row>
    <row r="58" ht="12.75" hidden="1">
      <c r="D58" s="170"/>
    </row>
    <row r="59" ht="12.75" hidden="1">
      <c r="D59" s="170"/>
    </row>
    <row r="60" ht="12.75" hidden="1">
      <c r="D60" s="170"/>
    </row>
    <row r="61" ht="12.75" hidden="1">
      <c r="D61" s="170"/>
    </row>
    <row r="62" ht="12.75" hidden="1">
      <c r="D62" s="170"/>
    </row>
    <row r="63" ht="12.75" hidden="1">
      <c r="D63" s="170"/>
    </row>
    <row r="64" ht="12.75" hidden="1">
      <c r="D64" s="170"/>
    </row>
    <row r="65" ht="12.75" hidden="1">
      <c r="D65" s="170"/>
    </row>
    <row r="66" ht="12.75" hidden="1">
      <c r="D66" s="170"/>
    </row>
    <row r="67" ht="12.75" hidden="1">
      <c r="D67" s="170"/>
    </row>
    <row r="68" ht="12.75" hidden="1">
      <c r="D68" s="170"/>
    </row>
    <row r="69" ht="12.75" hidden="1">
      <c r="D69" s="170"/>
    </row>
    <row r="70" ht="12.75" hidden="1">
      <c r="D70" s="170"/>
    </row>
    <row r="71" ht="12.75" hidden="1">
      <c r="D71" s="170"/>
    </row>
    <row r="72" ht="12.75" hidden="1">
      <c r="D72" s="170"/>
    </row>
    <row r="73" ht="12.75" hidden="1">
      <c r="D73" s="170"/>
    </row>
    <row r="74" ht="12.75" hidden="1">
      <c r="D74" s="170"/>
    </row>
    <row r="75" ht="12.75" hidden="1">
      <c r="D75" s="170"/>
    </row>
    <row r="76" ht="12.75" hidden="1">
      <c r="D76" s="170"/>
    </row>
    <row r="77" ht="12.75" hidden="1">
      <c r="D77" s="170"/>
    </row>
    <row r="78" ht="12.75" hidden="1">
      <c r="D78" s="170"/>
    </row>
    <row r="79" ht="12.75" hidden="1">
      <c r="D79" s="170"/>
    </row>
    <row r="80" ht="12.75" hidden="1">
      <c r="D80" s="170"/>
    </row>
    <row r="81" ht="12.75" hidden="1">
      <c r="D81" s="170"/>
    </row>
    <row r="82" ht="12.75" hidden="1">
      <c r="D82" s="170"/>
    </row>
    <row r="83" ht="12.75" hidden="1">
      <c r="D83" s="170"/>
    </row>
    <row r="84" ht="12.75" hidden="1">
      <c r="D84" s="170"/>
    </row>
    <row r="85" ht="12.75" hidden="1">
      <c r="D85" s="170"/>
    </row>
    <row r="86" ht="12.75" hidden="1">
      <c r="D86" s="170"/>
    </row>
    <row r="87" ht="12.75" hidden="1">
      <c r="D87" s="170"/>
    </row>
    <row r="88" ht="12.75" hidden="1">
      <c r="D88" s="170"/>
    </row>
    <row r="89" ht="12.75" hidden="1">
      <c r="D89" s="170"/>
    </row>
    <row r="90" ht="12.75" hidden="1">
      <c r="D90" s="170"/>
    </row>
    <row r="91" ht="12.75" hidden="1">
      <c r="D91" s="170"/>
    </row>
    <row r="92" ht="12.75" hidden="1">
      <c r="D92" s="170"/>
    </row>
    <row r="93" ht="12.75" hidden="1">
      <c r="D93" s="170"/>
    </row>
    <row r="94" ht="12.75" hidden="1">
      <c r="D94" s="170"/>
    </row>
    <row r="95" ht="12.75" hidden="1">
      <c r="D95" s="170"/>
    </row>
    <row r="96" ht="12.75" hidden="1">
      <c r="D96" s="170"/>
    </row>
    <row r="97" ht="12.75" hidden="1">
      <c r="D97" s="170"/>
    </row>
    <row r="98" ht="12.75" hidden="1">
      <c r="D98" s="170"/>
    </row>
    <row r="99" ht="12.75" hidden="1">
      <c r="D99" s="170"/>
    </row>
    <row r="100" spans="1:26" ht="12.75">
      <c r="A100" t="s">
        <v>148</v>
      </c>
      <c r="B100">
        <f>COUNTIF('Exerc 11 - Folha2'!$C2:$C99,B1)</f>
        <v>1</v>
      </c>
      <c r="C100">
        <f>COUNTIF('Exerc 11 - Folha2'!$C2:$C99,C1)</f>
        <v>2</v>
      </c>
      <c r="D100">
        <f>COUNTIF('Exerc 11 - Folha2'!$C2:$C99,D1)</f>
        <v>0</v>
      </c>
      <c r="E100">
        <f>COUNTIF('Exerc 11 - Folha2'!$C2:$C99,E1)</f>
        <v>0</v>
      </c>
      <c r="F100">
        <f>COUNTIF('Exerc 11 - Folha2'!$C2:$C99,F1)</f>
        <v>0</v>
      </c>
      <c r="G100">
        <f>COUNTIF('Exerc 11 - Folha2'!$C2:$C99,G1)</f>
        <v>0</v>
      </c>
      <c r="H100">
        <f>COUNTIF('Exerc 11 - Folha2'!$C2:$C99,H1)</f>
        <v>0</v>
      </c>
      <c r="I100">
        <f>COUNTIF('Exerc 11 - Folha2'!$C2:$C99,I1)</f>
        <v>0</v>
      </c>
      <c r="J100">
        <f>COUNTIF('Exerc 11 - Folha2'!$C2:$C99,J1)</f>
        <v>0</v>
      </c>
      <c r="K100">
        <f>COUNTIF('Exerc 11 - Folha2'!$C2:$C99,K1)</f>
        <v>0</v>
      </c>
      <c r="L100">
        <f>COUNTIF('Exerc 11 - Folha2'!$C2:$C99,L1)</f>
        <v>0</v>
      </c>
      <c r="M100">
        <f>COUNTIF('Exerc 11 - Folha2'!$C2:$C99,M1)</f>
        <v>0</v>
      </c>
      <c r="N100">
        <f>COUNTIF('Exerc 11 - Folha2'!$C2:$C99,N1)</f>
        <v>0</v>
      </c>
      <c r="O100">
        <f>COUNTIF('Exerc 11 - Folha2'!$C2:$C99,O1)</f>
        <v>0</v>
      </c>
      <c r="P100">
        <f>COUNTIF('Exerc 11 - Folha2'!$C2:$C99,P1)</f>
        <v>0</v>
      </c>
      <c r="Q100">
        <f>COUNTIF('Exerc 11 - Folha2'!$C2:$C99,Q1)</f>
        <v>0</v>
      </c>
      <c r="R100">
        <f>COUNTIF('Exerc 11 - Folha2'!$C2:$C99,R1)</f>
        <v>0</v>
      </c>
      <c r="S100">
        <f>COUNTIF('Exerc 11 - Folha2'!$C2:$C99,S1)</f>
        <v>0</v>
      </c>
      <c r="T100">
        <f>COUNTIF('Exerc 11 - Folha2'!$C2:$C99,T1)</f>
        <v>0</v>
      </c>
      <c r="U100">
        <f>COUNTIF('Exerc 11 - Folha2'!$C2:$C99,U1)</f>
        <v>0</v>
      </c>
      <c r="V100">
        <f>COUNTIF('Exerc 11 - Folha2'!$C2:$C99,V1)</f>
        <v>0</v>
      </c>
      <c r="W100">
        <f>COUNTIF('Exerc 11 - Folha2'!$C2:$C99,W1)</f>
        <v>0</v>
      </c>
      <c r="X100">
        <f>COUNTIF('Exerc 11 - Folha2'!$C2:$C99,X1)</f>
        <v>0</v>
      </c>
      <c r="Y100" s="170" t="s">
        <v>142</v>
      </c>
      <c r="Z100">
        <f>COUNTIF('Exerc 11 - Folha2'!$C2:$C99,Z1)</f>
        <v>1</v>
      </c>
    </row>
    <row r="101" ht="12.75">
      <c r="D101" s="170"/>
    </row>
    <row r="102" spans="4:26" ht="12.75">
      <c r="D102" s="170"/>
      <c r="Y102" s="92" t="s">
        <v>144</v>
      </c>
      <c r="Z102">
        <f>VLOOKUP(Y102,'Exerc 11 - Folha2'!B2:D5,3,FALSE)</f>
        <v>50</v>
      </c>
    </row>
    <row r="103" ht="12.75">
      <c r="D103" s="170"/>
    </row>
  </sheetData>
  <mergeCells count="1">
    <mergeCell ref="A6:Z6"/>
  </mergeCells>
  <dataValidations count="1">
    <dataValidation type="list" allowBlank="1" showInputMessage="1" showErrorMessage="1" sqref="Y102">
      <formula1>$A$2:$A$5</formula1>
    </dataValidation>
  </dataValidation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0.7109375" style="0" customWidth="1"/>
    <col min="3" max="3" width="18.00390625" style="0" bestFit="1" customWidth="1"/>
    <col min="4" max="4" width="13.28125" style="0" bestFit="1" customWidth="1"/>
    <col min="5" max="5" width="13.421875" style="0" bestFit="1" customWidth="1"/>
    <col min="6" max="6" width="10.57421875" style="0" bestFit="1" customWidth="1"/>
  </cols>
  <sheetData>
    <row r="1" spans="1:6" ht="13.5" thickBot="1">
      <c r="A1" s="168" t="s">
        <v>149</v>
      </c>
      <c r="B1" s="169" t="s">
        <v>15</v>
      </c>
      <c r="C1" s="169" t="s">
        <v>150</v>
      </c>
      <c r="D1" s="169" t="s">
        <v>151</v>
      </c>
      <c r="E1" s="169" t="s">
        <v>152</v>
      </c>
      <c r="F1" s="171" t="s">
        <v>153</v>
      </c>
    </row>
    <row r="2" spans="1:6" ht="12.75">
      <c r="A2" s="170" t="str">
        <f>IF(F2-D2&gt;E2*5%,"CUIDADO","OK")</f>
        <v>CUIDADO</v>
      </c>
      <c r="B2" t="str">
        <f>'Exerc 11 - Folha1'!A2</f>
        <v>Maçã</v>
      </c>
      <c r="C2" t="str">
        <f>INDEX('Exerc 11 - Folha1'!B$1:Z$1,0,MATCH(D2,'Exerc 11 - Folha1'!B2:Z2,0))</f>
        <v>Fornecedor B</v>
      </c>
      <c r="D2" s="30">
        <f>MIN('Exerc 11 - Folha1'!B2:Z2)</f>
        <v>50</v>
      </c>
      <c r="E2" s="174">
        <f>AVERAGE('Exerc 11 - Folha1'!B2:Z2)</f>
        <v>52</v>
      </c>
      <c r="F2" s="30">
        <f>MAX('Exerc 11 - Folha1'!B2:Z2)</f>
        <v>54</v>
      </c>
    </row>
    <row r="3" spans="1:6" ht="12.75">
      <c r="A3" s="170" t="str">
        <f>IF(F3-D3&gt;E3*5%,"CUIDADO","OK")</f>
        <v>CUIDADO</v>
      </c>
      <c r="B3" t="str">
        <f>'Exerc 11 - Folha1'!A3</f>
        <v>Laranja</v>
      </c>
      <c r="C3" t="str">
        <f>INDEX('Exerc 11 - Folha1'!B$1:Z$1,0,MATCH(D3,'Exerc 11 - Folha1'!B3:Z3,0))</f>
        <v>Fornecedor C</v>
      </c>
      <c r="D3" s="30">
        <f>MIN('Exerc 11 - Folha1'!B3:Z3)</f>
        <v>61</v>
      </c>
      <c r="E3" s="174">
        <f>AVERAGE('Exerc 11 - Folha1'!B3:Z3)</f>
        <v>63</v>
      </c>
      <c r="F3" s="30">
        <f>MAX('Exerc 11 - Folha1'!B3:Z3)</f>
        <v>65</v>
      </c>
    </row>
    <row r="4" spans="1:6" ht="12.75">
      <c r="A4" s="170" t="str">
        <f>IF(F4-D4&gt;E4*5%,"CUIDADO","OK")</f>
        <v>OK</v>
      </c>
      <c r="B4" t="str">
        <f>'Exerc 11 - Folha1'!A4</f>
        <v>Uva</v>
      </c>
      <c r="C4" t="str">
        <f>INDEX('Exerc 11 - Folha1'!B$1:Z$1,0,MATCH(D4,'Exerc 11 - Folha1'!B4:Z4,0))</f>
        <v>Fornecedor Z</v>
      </c>
      <c r="D4" s="30">
        <f>MIN('Exerc 11 - Folha1'!B4:Z4)</f>
        <v>100</v>
      </c>
      <c r="E4" s="174">
        <f>AVERAGE('Exerc 11 - Folha1'!B4:Z4)</f>
        <v>102.33333333333333</v>
      </c>
      <c r="F4" s="30">
        <f>MAX('Exerc 11 - Folha1'!B4:Z4)</f>
        <v>105</v>
      </c>
    </row>
    <row r="5" spans="1:6" ht="12.75">
      <c r="A5" s="170" t="str">
        <f>IF(F5-D5&gt;E5*5%,"CUIDADO","OK")</f>
        <v>OK</v>
      </c>
      <c r="B5" t="str">
        <f>'Exerc 11 - Folha1'!A5</f>
        <v>Banana</v>
      </c>
      <c r="C5" t="str">
        <f>INDEX('Exerc 11 - Folha1'!B$1:Z$1,0,MATCH(D5,'Exerc 11 - Folha1'!B5:Z5,0))</f>
        <v>Fornecedor C</v>
      </c>
      <c r="D5" s="30">
        <f>MIN('Exerc 11 - Folha1'!B5:Z5)</f>
        <v>71</v>
      </c>
      <c r="E5" s="174">
        <f>AVERAGE('Exerc 11 - Folha1'!B5:Z5)</f>
        <v>72.66666666666667</v>
      </c>
      <c r="F5" s="30">
        <f>MAX('Exerc 11 - Folha1'!B5:Z5)</f>
        <v>74</v>
      </c>
    </row>
    <row r="6" spans="1:6" ht="25.5" customHeight="1">
      <c r="A6" s="200" t="s">
        <v>142</v>
      </c>
      <c r="B6" s="200"/>
      <c r="C6" s="200"/>
      <c r="D6" s="200"/>
      <c r="E6" s="200"/>
      <c r="F6" s="200"/>
    </row>
  </sheetData>
  <mergeCells count="1">
    <mergeCell ref="A6:F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A2"/>
    </sheetView>
  </sheetViews>
  <sheetFormatPr defaultColWidth="9.140625" defaultRowHeight="12.75"/>
  <cols>
    <col min="3" max="3" width="14.00390625" style="0" bestFit="1" customWidth="1"/>
    <col min="4" max="4" width="14.57421875" style="0" bestFit="1" customWidth="1"/>
    <col min="5" max="5" width="13.7109375" style="0" bestFit="1" customWidth="1"/>
    <col min="6" max="6" width="13.421875" style="0" customWidth="1"/>
    <col min="7" max="7" width="17.28125" style="0" bestFit="1" customWidth="1"/>
  </cols>
  <sheetData>
    <row r="1" spans="1:7" s="43" customFormat="1" ht="12.75">
      <c r="A1" s="175" t="s">
        <v>54</v>
      </c>
      <c r="B1" s="175" t="s">
        <v>55</v>
      </c>
      <c r="C1" s="175" t="s">
        <v>56</v>
      </c>
      <c r="D1" s="175" t="s">
        <v>57</v>
      </c>
      <c r="E1" s="84">
        <v>0.13</v>
      </c>
      <c r="F1" s="84">
        <v>0.25</v>
      </c>
      <c r="G1" s="175" t="s">
        <v>58</v>
      </c>
    </row>
    <row r="2" spans="1:7" s="43" customFormat="1" ht="50.25" customHeight="1">
      <c r="A2" s="175"/>
      <c r="B2" s="175"/>
      <c r="C2" s="175"/>
      <c r="D2" s="175"/>
      <c r="E2" s="175" t="s">
        <v>59</v>
      </c>
      <c r="F2" s="175"/>
      <c r="G2" s="175"/>
    </row>
    <row r="3" spans="1:7" ht="12.75">
      <c r="A3" t="s">
        <v>60</v>
      </c>
      <c r="B3" t="s">
        <v>65</v>
      </c>
      <c r="C3" t="str">
        <f aca="true" t="shared" si="0" ref="C3:C8">B3&amp;" "&amp;A3</f>
        <v>Vítor Baía</v>
      </c>
      <c r="D3" s="30">
        <v>15000000</v>
      </c>
      <c r="E3" s="30">
        <f>$D3*E$1</f>
        <v>1950000</v>
      </c>
      <c r="F3" s="30">
        <f>$D3*F$1</f>
        <v>3750000</v>
      </c>
      <c r="G3" s="30">
        <f aca="true" t="shared" si="1" ref="G3:G8">D3-E3-F3</f>
        <v>9300000</v>
      </c>
    </row>
    <row r="4" spans="1:7" ht="12.75">
      <c r="A4" t="s">
        <v>61</v>
      </c>
      <c r="B4" t="s">
        <v>46</v>
      </c>
      <c r="C4" t="str">
        <f t="shared" si="0"/>
        <v>Rui Costa</v>
      </c>
      <c r="D4" s="30">
        <v>17000000</v>
      </c>
      <c r="E4" s="30">
        <f aca="true" t="shared" si="2" ref="E4:F8">$D4*E$1</f>
        <v>2210000</v>
      </c>
      <c r="F4" s="30">
        <f t="shared" si="2"/>
        <v>4250000</v>
      </c>
      <c r="G4" s="30">
        <f t="shared" si="1"/>
        <v>10540000</v>
      </c>
    </row>
    <row r="5" spans="1:7" ht="12.75">
      <c r="A5" t="s">
        <v>62</v>
      </c>
      <c r="B5" t="s">
        <v>66</v>
      </c>
      <c r="C5" t="str">
        <f t="shared" si="0"/>
        <v>Fernando Couto</v>
      </c>
      <c r="D5" s="30">
        <v>12000000</v>
      </c>
      <c r="E5" s="30">
        <f t="shared" si="2"/>
        <v>1560000</v>
      </c>
      <c r="F5" s="30">
        <f t="shared" si="2"/>
        <v>3000000</v>
      </c>
      <c r="G5" s="30">
        <f t="shared" si="1"/>
        <v>7440000</v>
      </c>
    </row>
    <row r="6" spans="1:7" ht="12.75">
      <c r="A6" t="s">
        <v>63</v>
      </c>
      <c r="B6" t="s">
        <v>67</v>
      </c>
      <c r="C6" t="str">
        <f t="shared" si="0"/>
        <v>João Pinto</v>
      </c>
      <c r="D6" s="30">
        <v>19000000</v>
      </c>
      <c r="E6" s="30">
        <f t="shared" si="2"/>
        <v>2470000</v>
      </c>
      <c r="F6" s="30">
        <f t="shared" si="2"/>
        <v>4750000</v>
      </c>
      <c r="G6" s="30">
        <f t="shared" si="1"/>
        <v>11780000</v>
      </c>
    </row>
    <row r="7" spans="1:7" ht="12.75">
      <c r="A7" t="s">
        <v>63</v>
      </c>
      <c r="B7" t="s">
        <v>68</v>
      </c>
      <c r="C7" t="str">
        <f t="shared" si="0"/>
        <v>Sá Pinto</v>
      </c>
      <c r="D7" s="30">
        <v>13000000</v>
      </c>
      <c r="E7" s="30">
        <f t="shared" si="2"/>
        <v>1690000</v>
      </c>
      <c r="F7" s="30">
        <f t="shared" si="2"/>
        <v>3250000</v>
      </c>
      <c r="G7" s="30">
        <f t="shared" si="1"/>
        <v>8060000</v>
      </c>
    </row>
    <row r="8" spans="1:7" ht="12.75">
      <c r="A8" t="s">
        <v>64</v>
      </c>
      <c r="B8" t="s">
        <v>69</v>
      </c>
      <c r="C8" t="str">
        <f t="shared" si="0"/>
        <v>Luís Figo</v>
      </c>
      <c r="D8" s="30">
        <v>20000000</v>
      </c>
      <c r="E8" s="30">
        <f t="shared" si="2"/>
        <v>2600000</v>
      </c>
      <c r="F8" s="30">
        <f t="shared" si="2"/>
        <v>5000000</v>
      </c>
      <c r="G8" s="30">
        <f t="shared" si="1"/>
        <v>12400000</v>
      </c>
    </row>
  </sheetData>
  <mergeCells count="6">
    <mergeCell ref="E2:F2"/>
    <mergeCell ref="G1:G2"/>
    <mergeCell ref="A1:A2"/>
    <mergeCell ref="B1:B2"/>
    <mergeCell ref="C1:C2"/>
    <mergeCell ref="D1:D2"/>
  </mergeCells>
  <dataValidations count="2">
    <dataValidation type="list" allowBlank="1" showInputMessage="1" showErrorMessage="1" sqref="E1">
      <formula1>"10%,11%,12%,13%"</formula1>
    </dataValidation>
    <dataValidation type="list" allowBlank="1" showInputMessage="1" showErrorMessage="1" sqref="F1">
      <formula1>"20%,25%,30%"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4" max="4" width="9.8515625" style="0" customWidth="1"/>
    <col min="9" max="9" width="10.8515625" style="0" customWidth="1"/>
  </cols>
  <sheetData>
    <row r="1" spans="1:9" ht="12.75">
      <c r="A1" s="89"/>
      <c r="B1" s="90">
        <v>0.2</v>
      </c>
      <c r="C1" s="90">
        <v>0.25</v>
      </c>
      <c r="D1" s="91" t="s">
        <v>90</v>
      </c>
      <c r="E1" s="90">
        <v>0.35</v>
      </c>
      <c r="F1" s="90">
        <v>0.2</v>
      </c>
      <c r="G1" s="91" t="s">
        <v>90</v>
      </c>
      <c r="H1" s="191" t="s">
        <v>91</v>
      </c>
      <c r="I1" s="191"/>
    </row>
    <row r="2" spans="1:9" ht="13.5" thickBot="1">
      <c r="A2" s="92" t="s">
        <v>43</v>
      </c>
      <c r="B2" s="91" t="s">
        <v>92</v>
      </c>
      <c r="C2" s="91" t="s">
        <v>93</v>
      </c>
      <c r="D2" s="91" t="s">
        <v>94</v>
      </c>
      <c r="E2" s="91" t="s">
        <v>95</v>
      </c>
      <c r="F2" s="91" t="s">
        <v>96</v>
      </c>
      <c r="G2" s="91" t="s">
        <v>97</v>
      </c>
      <c r="H2" s="191" t="s">
        <v>98</v>
      </c>
      <c r="I2" s="191"/>
    </row>
    <row r="3" spans="1:9" ht="12.75">
      <c r="A3" s="93" t="s">
        <v>99</v>
      </c>
      <c r="B3" s="94">
        <v>13</v>
      </c>
      <c r="C3" s="95">
        <v>11</v>
      </c>
      <c r="D3" s="96">
        <f aca="true" t="shared" si="0" ref="D3:D8">B3*B$1+C3*C$1</f>
        <v>5.35</v>
      </c>
      <c r="E3" s="97">
        <v>13</v>
      </c>
      <c r="F3" s="97">
        <v>12</v>
      </c>
      <c r="G3" s="96">
        <f aca="true" t="shared" si="1" ref="G3:G8">E3*E$1+F3*F$1</f>
        <v>6.95</v>
      </c>
      <c r="H3" s="95">
        <f aca="true" t="shared" si="2" ref="H3:H8">ROUND(G3+D3,0)</f>
        <v>12</v>
      </c>
      <c r="I3" s="98" t="str">
        <f aca="true" t="shared" si="3" ref="I3:I8">IF(H3&gt;9,"Aprovado",IF(H3=9,"Oral","Reprovado"))</f>
        <v>Aprovado</v>
      </c>
    </row>
    <row r="4" spans="1:9" ht="12.75">
      <c r="A4" s="99" t="s">
        <v>67</v>
      </c>
      <c r="B4" s="100">
        <v>12</v>
      </c>
      <c r="C4" s="101">
        <v>11</v>
      </c>
      <c r="D4" s="102">
        <f t="shared" si="0"/>
        <v>5.15</v>
      </c>
      <c r="E4" s="103">
        <v>7</v>
      </c>
      <c r="F4" s="103">
        <v>8</v>
      </c>
      <c r="G4" s="102">
        <f t="shared" si="1"/>
        <v>4.05</v>
      </c>
      <c r="H4" s="101">
        <f t="shared" si="2"/>
        <v>9</v>
      </c>
      <c r="I4" s="104" t="str">
        <f t="shared" si="3"/>
        <v>Oral</v>
      </c>
    </row>
    <row r="5" spans="1:9" ht="12.75">
      <c r="A5" s="99" t="s">
        <v>100</v>
      </c>
      <c r="B5" s="100">
        <v>7</v>
      </c>
      <c r="C5" s="101">
        <v>6</v>
      </c>
      <c r="D5" s="102">
        <f t="shared" si="0"/>
        <v>2.9000000000000004</v>
      </c>
      <c r="E5" s="103">
        <v>8</v>
      </c>
      <c r="F5" s="103">
        <v>7</v>
      </c>
      <c r="G5" s="102">
        <f t="shared" si="1"/>
        <v>4.2</v>
      </c>
      <c r="H5" s="101">
        <f t="shared" si="2"/>
        <v>7</v>
      </c>
      <c r="I5" s="104" t="str">
        <f t="shared" si="3"/>
        <v>Reprovado</v>
      </c>
    </row>
    <row r="6" spans="1:9" ht="12.75">
      <c r="A6" s="99" t="s">
        <v>45</v>
      </c>
      <c r="B6" s="100">
        <v>16</v>
      </c>
      <c r="C6" s="101">
        <v>18</v>
      </c>
      <c r="D6" s="102">
        <f t="shared" si="0"/>
        <v>7.7</v>
      </c>
      <c r="E6" s="103">
        <v>16</v>
      </c>
      <c r="F6" s="103">
        <v>15</v>
      </c>
      <c r="G6" s="102">
        <f t="shared" si="1"/>
        <v>8.6</v>
      </c>
      <c r="H6" s="101">
        <f t="shared" si="2"/>
        <v>16</v>
      </c>
      <c r="I6" s="104" t="str">
        <f t="shared" si="3"/>
        <v>Aprovado</v>
      </c>
    </row>
    <row r="7" spans="1:9" ht="12.75">
      <c r="A7" s="99" t="s">
        <v>53</v>
      </c>
      <c r="B7" s="100">
        <v>14</v>
      </c>
      <c r="C7" s="101">
        <v>16</v>
      </c>
      <c r="D7" s="102">
        <f t="shared" si="0"/>
        <v>6.800000000000001</v>
      </c>
      <c r="E7" s="103">
        <v>13</v>
      </c>
      <c r="F7" s="103">
        <v>18</v>
      </c>
      <c r="G7" s="102">
        <f t="shared" si="1"/>
        <v>8.15</v>
      </c>
      <c r="H7" s="101">
        <f t="shared" si="2"/>
        <v>15</v>
      </c>
      <c r="I7" s="104" t="str">
        <f t="shared" si="3"/>
        <v>Aprovado</v>
      </c>
    </row>
    <row r="8" spans="1:9" ht="13.5" thickBot="1">
      <c r="A8" s="105" t="s">
        <v>44</v>
      </c>
      <c r="B8" s="106">
        <v>13</v>
      </c>
      <c r="C8" s="107">
        <v>12</v>
      </c>
      <c r="D8" s="108">
        <f t="shared" si="0"/>
        <v>5.6</v>
      </c>
      <c r="E8" s="109">
        <v>11</v>
      </c>
      <c r="F8" s="109">
        <v>0</v>
      </c>
      <c r="G8" s="108">
        <f t="shared" si="1"/>
        <v>3.8499999999999996</v>
      </c>
      <c r="H8" s="107">
        <f t="shared" si="2"/>
        <v>9</v>
      </c>
      <c r="I8" s="110" t="str">
        <f t="shared" si="3"/>
        <v>Oral</v>
      </c>
    </row>
    <row r="9" spans="7:9" ht="12.75">
      <c r="G9" s="192" t="s">
        <v>101</v>
      </c>
      <c r="H9" s="193"/>
      <c r="I9" s="111">
        <f>AVERAGE(H3:H8)</f>
        <v>11.333333333333334</v>
      </c>
    </row>
    <row r="10" spans="7:9" ht="12.75">
      <c r="G10" s="187" t="s">
        <v>102</v>
      </c>
      <c r="H10" s="188"/>
      <c r="I10" s="112">
        <f>COUNTIF(I3:I8,"Aprovado")</f>
        <v>3</v>
      </c>
    </row>
    <row r="11" spans="1:9" ht="12.75">
      <c r="A11" s="91" t="s">
        <v>103</v>
      </c>
      <c r="G11" s="187" t="s">
        <v>104</v>
      </c>
      <c r="H11" s="188"/>
      <c r="I11" s="112">
        <f>COUNTIF(I3:I8,"Reprovado")</f>
        <v>1</v>
      </c>
    </row>
    <row r="12" spans="1:9" ht="13.5" thickBot="1">
      <c r="A12" s="43" t="s">
        <v>45</v>
      </c>
      <c r="B12" s="113">
        <f>VLOOKUP(A12,A3:H8,8,FALSE)</f>
        <v>16</v>
      </c>
      <c r="G12" s="189" t="s">
        <v>105</v>
      </c>
      <c r="H12" s="190"/>
      <c r="I12" s="112">
        <f>COUNTIF(I3:I8,"Oral")</f>
        <v>2</v>
      </c>
    </row>
    <row r="14" ht="12.75">
      <c r="A14" s="42"/>
    </row>
    <row r="15" spans="1:2" ht="12.75">
      <c r="A15" s="43"/>
      <c r="B15" s="113"/>
    </row>
  </sheetData>
  <mergeCells count="6">
    <mergeCell ref="G11:H11"/>
    <mergeCell ref="G12:H12"/>
    <mergeCell ref="H1:I1"/>
    <mergeCell ref="H2:I2"/>
    <mergeCell ref="G9:H9"/>
    <mergeCell ref="G10:H10"/>
  </mergeCells>
  <dataValidations count="1">
    <dataValidation type="list" allowBlank="1" showInputMessage="1" showErrorMessage="1" sqref="A15 A12">
      <formula1>$A$3:$A$8</formula1>
    </dataValidation>
  </dataValidation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0" width="10.7109375" style="0" customWidth="1"/>
    <col min="11" max="11" width="11.8515625" style="0" bestFit="1" customWidth="1"/>
    <col min="12" max="12" width="10.7109375" style="0" customWidth="1"/>
  </cols>
  <sheetData>
    <row r="1" spans="1:12" ht="16.5" thickBot="1">
      <c r="A1" s="15"/>
      <c r="B1" s="176" t="s">
        <v>0</v>
      </c>
      <c r="C1" s="177"/>
      <c r="D1" s="177"/>
      <c r="E1" s="177"/>
      <c r="F1" s="178"/>
      <c r="G1" s="176" t="s">
        <v>1</v>
      </c>
      <c r="H1" s="177"/>
      <c r="I1" s="177"/>
      <c r="J1" s="177"/>
      <c r="K1" s="178"/>
      <c r="L1" s="12"/>
    </row>
    <row r="2" spans="1:12" ht="12.75" customHeight="1" thickBot="1">
      <c r="A2" s="16" t="s">
        <v>14</v>
      </c>
      <c r="B2" s="6" t="s">
        <v>28</v>
      </c>
      <c r="C2" s="6" t="s">
        <v>15</v>
      </c>
      <c r="D2" s="7" t="s">
        <v>41</v>
      </c>
      <c r="E2" s="8" t="s">
        <v>16</v>
      </c>
      <c r="F2" s="6" t="s">
        <v>27</v>
      </c>
      <c r="G2" s="5" t="s">
        <v>42</v>
      </c>
      <c r="H2" s="8" t="s">
        <v>26</v>
      </c>
      <c r="I2" s="9" t="s">
        <v>22</v>
      </c>
      <c r="J2" s="8" t="s">
        <v>25</v>
      </c>
      <c r="K2" s="6" t="s">
        <v>23</v>
      </c>
      <c r="L2" s="13"/>
    </row>
    <row r="3" spans="1:12" ht="12.75" customHeight="1">
      <c r="A3" s="18" t="s">
        <v>17</v>
      </c>
      <c r="B3" s="62" t="s">
        <v>2</v>
      </c>
      <c r="C3" s="70" t="s">
        <v>20</v>
      </c>
      <c r="D3" s="73">
        <v>100</v>
      </c>
      <c r="E3" s="45">
        <v>97</v>
      </c>
      <c r="F3" s="131">
        <f>ROUND(E3+E3*A$37,0)*D3</f>
        <v>11300</v>
      </c>
      <c r="G3" s="57">
        <v>93</v>
      </c>
      <c r="H3" s="134">
        <f>ROUND(E3+E3*HLOOKUP(B3,A$32:L$33,2,FALSE),0)</f>
        <v>121</v>
      </c>
      <c r="I3" s="50">
        <f>ROUND(H3+H3*A$37,0)</f>
        <v>142</v>
      </c>
      <c r="J3" s="78">
        <f>I3*G3</f>
        <v>13206</v>
      </c>
      <c r="K3" s="75">
        <f>J3-F3</f>
        <v>1906</v>
      </c>
      <c r="L3" s="10"/>
    </row>
    <row r="4" spans="1:12" ht="12.75" customHeight="1">
      <c r="A4" s="19" t="s">
        <v>18</v>
      </c>
      <c r="B4" s="68" t="s">
        <v>2</v>
      </c>
      <c r="C4" s="71" t="s">
        <v>21</v>
      </c>
      <c r="D4" s="74">
        <v>60</v>
      </c>
      <c r="E4" s="46">
        <v>43</v>
      </c>
      <c r="F4" s="132">
        <f aca="true" t="shared" si="0" ref="F4:F26">ROUND(E4+E4*A$37,0)*D4</f>
        <v>3000</v>
      </c>
      <c r="G4" s="58">
        <v>37</v>
      </c>
      <c r="H4" s="135">
        <f aca="true" t="shared" si="1" ref="H4:H26">ROUND(E4+E4*HLOOKUP(B4,A$32:L$33,2,FALSE),0)</f>
        <v>54</v>
      </c>
      <c r="I4" s="51">
        <f aca="true" t="shared" si="2" ref="I4:I26">ROUND(H4+H4*A$37,0)</f>
        <v>63</v>
      </c>
      <c r="J4" s="79">
        <f aca="true" t="shared" si="3" ref="J4:J26">I4*G4</f>
        <v>2331</v>
      </c>
      <c r="K4" s="76">
        <f aca="true" t="shared" si="4" ref="K4:K26">J4-F4</f>
        <v>-669</v>
      </c>
      <c r="L4" s="10"/>
    </row>
    <row r="5" spans="1:12" ht="12.75" customHeight="1">
      <c r="A5" s="19" t="s">
        <v>19</v>
      </c>
      <c r="B5" s="61" t="s">
        <v>3</v>
      </c>
      <c r="C5" s="71" t="s">
        <v>20</v>
      </c>
      <c r="D5" s="58">
        <v>93</v>
      </c>
      <c r="E5" s="46">
        <f>ROUND(E3*1.05,0)</f>
        <v>102</v>
      </c>
      <c r="F5" s="132">
        <f t="shared" si="0"/>
        <v>11067</v>
      </c>
      <c r="G5" s="58">
        <v>79</v>
      </c>
      <c r="H5" s="135">
        <f t="shared" si="1"/>
        <v>130</v>
      </c>
      <c r="I5" s="51">
        <f t="shared" si="2"/>
        <v>152</v>
      </c>
      <c r="J5" s="79">
        <f t="shared" si="3"/>
        <v>12008</v>
      </c>
      <c r="K5" s="76">
        <f t="shared" si="4"/>
        <v>941</v>
      </c>
      <c r="L5" s="10"/>
    </row>
    <row r="6" spans="1:12" ht="12.75" customHeight="1">
      <c r="A6" s="19" t="s">
        <v>17</v>
      </c>
      <c r="B6" s="68" t="s">
        <v>3</v>
      </c>
      <c r="C6" s="71" t="s">
        <v>21</v>
      </c>
      <c r="D6" s="58">
        <v>37</v>
      </c>
      <c r="E6" s="46">
        <f>ROUND(E4*1.03,0)</f>
        <v>44</v>
      </c>
      <c r="F6" s="132">
        <f t="shared" si="0"/>
        <v>1887</v>
      </c>
      <c r="G6" s="58">
        <v>23</v>
      </c>
      <c r="H6" s="135">
        <f t="shared" si="1"/>
        <v>56</v>
      </c>
      <c r="I6" s="51">
        <f t="shared" si="2"/>
        <v>66</v>
      </c>
      <c r="J6" s="79">
        <f t="shared" si="3"/>
        <v>1518</v>
      </c>
      <c r="K6" s="76">
        <f t="shared" si="4"/>
        <v>-369</v>
      </c>
      <c r="L6" s="10"/>
    </row>
    <row r="7" spans="1:12" ht="12.75" customHeight="1">
      <c r="A7" s="19" t="s">
        <v>18</v>
      </c>
      <c r="B7" s="61" t="s">
        <v>4</v>
      </c>
      <c r="C7" s="71" t="s">
        <v>20</v>
      </c>
      <c r="D7" s="58">
        <v>79</v>
      </c>
      <c r="E7" s="46">
        <f>ROUND(E5*1.05,0)</f>
        <v>107</v>
      </c>
      <c r="F7" s="132">
        <f t="shared" si="0"/>
        <v>9875</v>
      </c>
      <c r="G7" s="58">
        <v>73</v>
      </c>
      <c r="H7" s="135">
        <f t="shared" si="1"/>
        <v>138</v>
      </c>
      <c r="I7" s="51">
        <f t="shared" si="2"/>
        <v>161</v>
      </c>
      <c r="J7" s="79">
        <f t="shared" si="3"/>
        <v>11753</v>
      </c>
      <c r="K7" s="76">
        <f t="shared" si="4"/>
        <v>1878</v>
      </c>
      <c r="L7" s="10"/>
    </row>
    <row r="8" spans="1:12" ht="12.75" customHeight="1">
      <c r="A8" s="19" t="s">
        <v>19</v>
      </c>
      <c r="B8" s="68" t="s">
        <v>4</v>
      </c>
      <c r="C8" s="71" t="s">
        <v>21</v>
      </c>
      <c r="D8" s="58">
        <v>23</v>
      </c>
      <c r="E8" s="46">
        <f>ROUND(E6*1.03,0)</f>
        <v>45</v>
      </c>
      <c r="F8" s="132">
        <f t="shared" si="0"/>
        <v>1219</v>
      </c>
      <c r="G8" s="58">
        <v>26</v>
      </c>
      <c r="H8" s="135">
        <f t="shared" si="1"/>
        <v>58</v>
      </c>
      <c r="I8" s="51">
        <f t="shared" si="2"/>
        <v>68</v>
      </c>
      <c r="J8" s="79">
        <f t="shared" si="3"/>
        <v>1768</v>
      </c>
      <c r="K8" s="76">
        <f t="shared" si="4"/>
        <v>549</v>
      </c>
      <c r="L8" s="10"/>
    </row>
    <row r="9" spans="1:12" ht="12.75" customHeight="1">
      <c r="A9" s="19" t="s">
        <v>17</v>
      </c>
      <c r="B9" s="61" t="s">
        <v>5</v>
      </c>
      <c r="C9" s="71" t="s">
        <v>20</v>
      </c>
      <c r="D9" s="58">
        <v>73</v>
      </c>
      <c r="E9" s="46">
        <f>ROUND(E7*1.05,0)</f>
        <v>112</v>
      </c>
      <c r="F9" s="132">
        <f t="shared" si="0"/>
        <v>9563</v>
      </c>
      <c r="G9" s="58">
        <v>64</v>
      </c>
      <c r="H9" s="135">
        <f t="shared" si="1"/>
        <v>147</v>
      </c>
      <c r="I9" s="51">
        <f t="shared" si="2"/>
        <v>172</v>
      </c>
      <c r="J9" s="79">
        <f t="shared" si="3"/>
        <v>11008</v>
      </c>
      <c r="K9" s="76">
        <f t="shared" si="4"/>
        <v>1445</v>
      </c>
      <c r="L9" s="10"/>
    </row>
    <row r="10" spans="1:12" ht="12.75" customHeight="1">
      <c r="A10" s="19" t="s">
        <v>18</v>
      </c>
      <c r="B10" s="68" t="s">
        <v>5</v>
      </c>
      <c r="C10" s="71" t="s">
        <v>21</v>
      </c>
      <c r="D10" s="58">
        <v>26</v>
      </c>
      <c r="E10" s="46">
        <f>ROUND(E8*1.03,0)</f>
        <v>46</v>
      </c>
      <c r="F10" s="132">
        <f t="shared" si="0"/>
        <v>1404</v>
      </c>
      <c r="G10" s="58">
        <v>34</v>
      </c>
      <c r="H10" s="135">
        <f t="shared" si="1"/>
        <v>60</v>
      </c>
      <c r="I10" s="51">
        <f t="shared" si="2"/>
        <v>70</v>
      </c>
      <c r="J10" s="79">
        <f t="shared" si="3"/>
        <v>2380</v>
      </c>
      <c r="K10" s="76">
        <f t="shared" si="4"/>
        <v>976</v>
      </c>
      <c r="L10" s="10"/>
    </row>
    <row r="11" spans="1:12" ht="12.75" customHeight="1">
      <c r="A11" s="19" t="s">
        <v>19</v>
      </c>
      <c r="B11" s="61" t="s">
        <v>6</v>
      </c>
      <c r="C11" s="71" t="s">
        <v>20</v>
      </c>
      <c r="D11" s="58">
        <v>64</v>
      </c>
      <c r="E11" s="46">
        <f>ROUND(E9*1.05,0)</f>
        <v>118</v>
      </c>
      <c r="F11" s="132">
        <f t="shared" si="0"/>
        <v>8832</v>
      </c>
      <c r="G11" s="58">
        <v>51</v>
      </c>
      <c r="H11" s="135">
        <f t="shared" si="1"/>
        <v>157</v>
      </c>
      <c r="I11" s="51">
        <f t="shared" si="2"/>
        <v>184</v>
      </c>
      <c r="J11" s="79">
        <f t="shared" si="3"/>
        <v>9384</v>
      </c>
      <c r="K11" s="76">
        <f t="shared" si="4"/>
        <v>552</v>
      </c>
      <c r="L11" s="10"/>
    </row>
    <row r="12" spans="1:12" ht="12.75" customHeight="1">
      <c r="A12" s="19" t="s">
        <v>17</v>
      </c>
      <c r="B12" s="68" t="s">
        <v>6</v>
      </c>
      <c r="C12" s="71" t="s">
        <v>21</v>
      </c>
      <c r="D12" s="58">
        <v>34</v>
      </c>
      <c r="E12" s="46">
        <f>ROUND(E10*1.03,0)</f>
        <v>47</v>
      </c>
      <c r="F12" s="132">
        <f t="shared" si="0"/>
        <v>1870</v>
      </c>
      <c r="G12" s="58">
        <v>35</v>
      </c>
      <c r="H12" s="135">
        <f t="shared" si="1"/>
        <v>63</v>
      </c>
      <c r="I12" s="51">
        <f t="shared" si="2"/>
        <v>74</v>
      </c>
      <c r="J12" s="79">
        <f t="shared" si="3"/>
        <v>2590</v>
      </c>
      <c r="K12" s="76">
        <f t="shared" si="4"/>
        <v>720</v>
      </c>
      <c r="L12" s="10"/>
    </row>
    <row r="13" spans="1:12" ht="12.75" customHeight="1">
      <c r="A13" s="19" t="s">
        <v>18</v>
      </c>
      <c r="B13" s="61" t="s">
        <v>7</v>
      </c>
      <c r="C13" s="71" t="s">
        <v>20</v>
      </c>
      <c r="D13" s="58">
        <v>51</v>
      </c>
      <c r="E13" s="46">
        <f>ROUND(E11*1.05,0)</f>
        <v>124</v>
      </c>
      <c r="F13" s="132">
        <f t="shared" si="0"/>
        <v>7395</v>
      </c>
      <c r="G13" s="58">
        <v>43</v>
      </c>
      <c r="H13" s="135">
        <f t="shared" si="1"/>
        <v>167</v>
      </c>
      <c r="I13" s="51">
        <f t="shared" si="2"/>
        <v>195</v>
      </c>
      <c r="J13" s="79">
        <f t="shared" si="3"/>
        <v>8385</v>
      </c>
      <c r="K13" s="76">
        <f t="shared" si="4"/>
        <v>990</v>
      </c>
      <c r="L13" s="10"/>
    </row>
    <row r="14" spans="1:12" ht="12.75" customHeight="1">
      <c r="A14" s="19" t="s">
        <v>19</v>
      </c>
      <c r="B14" s="68" t="s">
        <v>7</v>
      </c>
      <c r="C14" s="71" t="s">
        <v>21</v>
      </c>
      <c r="D14" s="58">
        <v>35</v>
      </c>
      <c r="E14" s="46">
        <f>ROUND(E12*1.03,0)</f>
        <v>48</v>
      </c>
      <c r="F14" s="132">
        <f t="shared" si="0"/>
        <v>1960</v>
      </c>
      <c r="G14" s="58">
        <v>44</v>
      </c>
      <c r="H14" s="135">
        <f t="shared" si="1"/>
        <v>65</v>
      </c>
      <c r="I14" s="51">
        <f t="shared" si="2"/>
        <v>76</v>
      </c>
      <c r="J14" s="79">
        <f t="shared" si="3"/>
        <v>3344</v>
      </c>
      <c r="K14" s="76">
        <f t="shared" si="4"/>
        <v>1384</v>
      </c>
      <c r="L14" s="10"/>
    </row>
    <row r="15" spans="1:12" ht="12.75" customHeight="1">
      <c r="A15" s="19" t="s">
        <v>17</v>
      </c>
      <c r="B15" s="61" t="s">
        <v>8</v>
      </c>
      <c r="C15" s="71" t="s">
        <v>20</v>
      </c>
      <c r="D15" s="58">
        <v>43</v>
      </c>
      <c r="E15" s="46">
        <f>ROUND(E13*1.05,0)</f>
        <v>130</v>
      </c>
      <c r="F15" s="132">
        <f t="shared" si="0"/>
        <v>6536</v>
      </c>
      <c r="G15" s="58">
        <v>32</v>
      </c>
      <c r="H15" s="135">
        <f t="shared" si="1"/>
        <v>178</v>
      </c>
      <c r="I15" s="51">
        <f t="shared" si="2"/>
        <v>208</v>
      </c>
      <c r="J15" s="79">
        <f t="shared" si="3"/>
        <v>6656</v>
      </c>
      <c r="K15" s="76">
        <f t="shared" si="4"/>
        <v>120</v>
      </c>
      <c r="L15" s="10"/>
    </row>
    <row r="16" spans="1:12" ht="12.75" customHeight="1">
      <c r="A16" s="19" t="s">
        <v>18</v>
      </c>
      <c r="B16" s="68" t="s">
        <v>8</v>
      </c>
      <c r="C16" s="71" t="s">
        <v>21</v>
      </c>
      <c r="D16" s="58">
        <v>44</v>
      </c>
      <c r="E16" s="46">
        <f>ROUND(E14*1.03,0)</f>
        <v>49</v>
      </c>
      <c r="F16" s="132">
        <f t="shared" si="0"/>
        <v>2508</v>
      </c>
      <c r="G16" s="58">
        <v>42</v>
      </c>
      <c r="H16" s="135">
        <f t="shared" si="1"/>
        <v>67</v>
      </c>
      <c r="I16" s="51">
        <f t="shared" si="2"/>
        <v>78</v>
      </c>
      <c r="J16" s="79">
        <f t="shared" si="3"/>
        <v>3276</v>
      </c>
      <c r="K16" s="76">
        <f t="shared" si="4"/>
        <v>768</v>
      </c>
      <c r="L16" s="10"/>
    </row>
    <row r="17" spans="1:12" ht="12.75" customHeight="1">
      <c r="A17" s="19" t="s">
        <v>19</v>
      </c>
      <c r="B17" s="61" t="s">
        <v>9</v>
      </c>
      <c r="C17" s="71" t="s">
        <v>20</v>
      </c>
      <c r="D17" s="58">
        <v>32</v>
      </c>
      <c r="E17" s="46">
        <f>ROUND(E15*1.05,0)</f>
        <v>137</v>
      </c>
      <c r="F17" s="132">
        <f t="shared" si="0"/>
        <v>5120</v>
      </c>
      <c r="G17" s="58">
        <v>27</v>
      </c>
      <c r="H17" s="135">
        <f t="shared" si="1"/>
        <v>190</v>
      </c>
      <c r="I17" s="51">
        <f t="shared" si="2"/>
        <v>222</v>
      </c>
      <c r="J17" s="79">
        <f t="shared" si="3"/>
        <v>5994</v>
      </c>
      <c r="K17" s="76">
        <f t="shared" si="4"/>
        <v>874</v>
      </c>
      <c r="L17" s="10"/>
    </row>
    <row r="18" spans="1:12" ht="12.75" customHeight="1">
      <c r="A18" s="19" t="s">
        <v>17</v>
      </c>
      <c r="B18" s="68" t="s">
        <v>9</v>
      </c>
      <c r="C18" s="71" t="s">
        <v>21</v>
      </c>
      <c r="D18" s="58">
        <v>42</v>
      </c>
      <c r="E18" s="46">
        <f>ROUND(E16*1.03,0)</f>
        <v>50</v>
      </c>
      <c r="F18" s="132">
        <f t="shared" si="0"/>
        <v>2478</v>
      </c>
      <c r="G18" s="58">
        <v>37</v>
      </c>
      <c r="H18" s="135">
        <f t="shared" si="1"/>
        <v>70</v>
      </c>
      <c r="I18" s="51">
        <f t="shared" si="2"/>
        <v>82</v>
      </c>
      <c r="J18" s="79">
        <f t="shared" si="3"/>
        <v>3034</v>
      </c>
      <c r="K18" s="76">
        <f t="shared" si="4"/>
        <v>556</v>
      </c>
      <c r="L18" s="10"/>
    </row>
    <row r="19" spans="1:12" ht="12.75" customHeight="1">
      <c r="A19" s="19" t="s">
        <v>18</v>
      </c>
      <c r="B19" s="61" t="s">
        <v>10</v>
      </c>
      <c r="C19" s="71" t="s">
        <v>20</v>
      </c>
      <c r="D19" s="58">
        <v>27</v>
      </c>
      <c r="E19" s="46">
        <f>ROUND(E17*1.05,0)</f>
        <v>144</v>
      </c>
      <c r="F19" s="132">
        <f t="shared" si="0"/>
        <v>4536</v>
      </c>
      <c r="G19" s="58">
        <v>36</v>
      </c>
      <c r="H19" s="135">
        <f t="shared" si="1"/>
        <v>203</v>
      </c>
      <c r="I19" s="51">
        <f t="shared" si="2"/>
        <v>238</v>
      </c>
      <c r="J19" s="79">
        <f t="shared" si="3"/>
        <v>8568</v>
      </c>
      <c r="K19" s="76">
        <f t="shared" si="4"/>
        <v>4032</v>
      </c>
      <c r="L19" s="10"/>
    </row>
    <row r="20" spans="1:12" ht="12.75" customHeight="1">
      <c r="A20" s="19" t="s">
        <v>19</v>
      </c>
      <c r="B20" s="68" t="s">
        <v>10</v>
      </c>
      <c r="C20" s="71" t="s">
        <v>21</v>
      </c>
      <c r="D20" s="58">
        <v>37</v>
      </c>
      <c r="E20" s="46">
        <f>ROUND(E18*1.03,0)</f>
        <v>52</v>
      </c>
      <c r="F20" s="132">
        <f t="shared" si="0"/>
        <v>2257</v>
      </c>
      <c r="G20" s="58">
        <v>32</v>
      </c>
      <c r="H20" s="135">
        <f t="shared" si="1"/>
        <v>73</v>
      </c>
      <c r="I20" s="51">
        <f t="shared" si="2"/>
        <v>85</v>
      </c>
      <c r="J20" s="79">
        <f t="shared" si="3"/>
        <v>2720</v>
      </c>
      <c r="K20" s="76">
        <f t="shared" si="4"/>
        <v>463</v>
      </c>
      <c r="L20" s="10"/>
    </row>
    <row r="21" spans="1:12" ht="12.75" customHeight="1">
      <c r="A21" s="19" t="s">
        <v>17</v>
      </c>
      <c r="B21" s="61" t="s">
        <v>11</v>
      </c>
      <c r="C21" s="71" t="s">
        <v>20</v>
      </c>
      <c r="D21" s="58">
        <v>36</v>
      </c>
      <c r="E21" s="46">
        <f>ROUND(E19*1.05,0)</f>
        <v>151</v>
      </c>
      <c r="F21" s="132">
        <f t="shared" si="0"/>
        <v>6372</v>
      </c>
      <c r="G21" s="58">
        <v>45</v>
      </c>
      <c r="H21" s="135">
        <f t="shared" si="1"/>
        <v>216</v>
      </c>
      <c r="I21" s="51">
        <f t="shared" si="2"/>
        <v>253</v>
      </c>
      <c r="J21" s="79">
        <f t="shared" si="3"/>
        <v>11385</v>
      </c>
      <c r="K21" s="76">
        <f t="shared" si="4"/>
        <v>5013</v>
      </c>
      <c r="L21" s="10"/>
    </row>
    <row r="22" spans="1:12" ht="12.75" customHeight="1">
      <c r="A22" s="19" t="s">
        <v>18</v>
      </c>
      <c r="B22" s="68" t="s">
        <v>11</v>
      </c>
      <c r="C22" s="71" t="s">
        <v>21</v>
      </c>
      <c r="D22" s="58">
        <v>32</v>
      </c>
      <c r="E22" s="46">
        <f>ROUND(E20*1.03,0)</f>
        <v>54</v>
      </c>
      <c r="F22" s="132">
        <f t="shared" si="0"/>
        <v>2016</v>
      </c>
      <c r="G22" s="58">
        <v>27</v>
      </c>
      <c r="H22" s="135">
        <f t="shared" si="1"/>
        <v>77</v>
      </c>
      <c r="I22" s="51">
        <f t="shared" si="2"/>
        <v>90</v>
      </c>
      <c r="J22" s="79">
        <f t="shared" si="3"/>
        <v>2430</v>
      </c>
      <c r="K22" s="76">
        <f t="shared" si="4"/>
        <v>414</v>
      </c>
      <c r="L22" s="10"/>
    </row>
    <row r="23" spans="1:12" ht="12.75" customHeight="1">
      <c r="A23" s="19" t="s">
        <v>19</v>
      </c>
      <c r="B23" s="61" t="s">
        <v>12</v>
      </c>
      <c r="C23" s="71" t="s">
        <v>20</v>
      </c>
      <c r="D23" s="58">
        <v>45</v>
      </c>
      <c r="E23" s="46">
        <f>ROUND(E21*1.05,0)</f>
        <v>159</v>
      </c>
      <c r="F23" s="132">
        <f t="shared" si="0"/>
        <v>8370</v>
      </c>
      <c r="G23" s="58">
        <v>53</v>
      </c>
      <c r="H23" s="135">
        <f t="shared" si="1"/>
        <v>231</v>
      </c>
      <c r="I23" s="51">
        <f t="shared" si="2"/>
        <v>270</v>
      </c>
      <c r="J23" s="79">
        <f t="shared" si="3"/>
        <v>14310</v>
      </c>
      <c r="K23" s="76">
        <f t="shared" si="4"/>
        <v>5940</v>
      </c>
      <c r="L23" s="10"/>
    </row>
    <row r="24" spans="1:12" ht="12.75" customHeight="1">
      <c r="A24" s="19" t="s">
        <v>17</v>
      </c>
      <c r="B24" s="68" t="s">
        <v>12</v>
      </c>
      <c r="C24" s="71" t="s">
        <v>21</v>
      </c>
      <c r="D24" s="58">
        <v>27</v>
      </c>
      <c r="E24" s="46">
        <f>ROUND(E22*1.03,0)</f>
        <v>56</v>
      </c>
      <c r="F24" s="132">
        <f t="shared" si="0"/>
        <v>1782</v>
      </c>
      <c r="G24" s="58">
        <v>31</v>
      </c>
      <c r="H24" s="135">
        <f t="shared" si="1"/>
        <v>81</v>
      </c>
      <c r="I24" s="51">
        <f t="shared" si="2"/>
        <v>95</v>
      </c>
      <c r="J24" s="79">
        <f t="shared" si="3"/>
        <v>2945</v>
      </c>
      <c r="K24" s="76">
        <f t="shared" si="4"/>
        <v>1163</v>
      </c>
      <c r="L24" s="10"/>
    </row>
    <row r="25" spans="1:12" ht="12.75" customHeight="1">
      <c r="A25" s="19" t="s">
        <v>18</v>
      </c>
      <c r="B25" s="61" t="s">
        <v>13</v>
      </c>
      <c r="C25" s="71" t="s">
        <v>20</v>
      </c>
      <c r="D25" s="58">
        <v>53</v>
      </c>
      <c r="E25" s="46">
        <f>ROUND(E23*1.05,0)</f>
        <v>167</v>
      </c>
      <c r="F25" s="132">
        <f t="shared" si="0"/>
        <v>10335</v>
      </c>
      <c r="G25" s="58">
        <v>98</v>
      </c>
      <c r="H25" s="135">
        <f t="shared" si="1"/>
        <v>245</v>
      </c>
      <c r="I25" s="51">
        <f t="shared" si="2"/>
        <v>287</v>
      </c>
      <c r="J25" s="79">
        <f t="shared" si="3"/>
        <v>28126</v>
      </c>
      <c r="K25" s="76">
        <f t="shared" si="4"/>
        <v>17791</v>
      </c>
      <c r="L25" s="10"/>
    </row>
    <row r="26" spans="1:12" ht="12.75" customHeight="1" thickBot="1">
      <c r="A26" s="20" t="s">
        <v>19</v>
      </c>
      <c r="B26" s="69" t="s">
        <v>13</v>
      </c>
      <c r="C26" s="72" t="s">
        <v>21</v>
      </c>
      <c r="D26" s="59">
        <v>31</v>
      </c>
      <c r="E26" s="47">
        <f>ROUND(E24*1.03,0)</f>
        <v>58</v>
      </c>
      <c r="F26" s="133">
        <f t="shared" si="0"/>
        <v>2108</v>
      </c>
      <c r="G26" s="59">
        <v>35</v>
      </c>
      <c r="H26" s="136">
        <f t="shared" si="1"/>
        <v>85</v>
      </c>
      <c r="I26" s="52">
        <f t="shared" si="2"/>
        <v>99</v>
      </c>
      <c r="J26" s="80">
        <f t="shared" si="3"/>
        <v>3465</v>
      </c>
      <c r="K26" s="77">
        <f t="shared" si="4"/>
        <v>1357</v>
      </c>
      <c r="L26" s="10"/>
    </row>
    <row r="27" spans="1:12" ht="12.75" customHeight="1" thickBot="1">
      <c r="A27" s="15"/>
      <c r="B27" s="14"/>
      <c r="C27" s="14"/>
      <c r="D27" s="44">
        <f aca="true" t="shared" si="5" ref="D27:K27">SUM(D3:D26)</f>
        <v>1124</v>
      </c>
      <c r="E27" s="48">
        <f>AVERAGE(E3:E26)</f>
        <v>89.16666666666667</v>
      </c>
      <c r="F27" s="54">
        <f t="shared" si="5"/>
        <v>123790</v>
      </c>
      <c r="G27" s="29">
        <f t="shared" si="5"/>
        <v>1097</v>
      </c>
      <c r="H27" s="53">
        <f>AVERAGE(H3:H26)</f>
        <v>122.16666666666667</v>
      </c>
      <c r="I27" s="53">
        <f>AVERAGE(I3:I26)</f>
        <v>142.91666666666666</v>
      </c>
      <c r="J27" s="49">
        <f t="shared" si="5"/>
        <v>172584</v>
      </c>
      <c r="K27" s="55">
        <f t="shared" si="5"/>
        <v>48794</v>
      </c>
      <c r="L27" s="11"/>
    </row>
    <row r="28" spans="1:12" ht="12.75" customHeight="1">
      <c r="A28" s="15"/>
      <c r="B28" s="14"/>
      <c r="C28" s="14"/>
      <c r="D28" s="11"/>
      <c r="E28" s="85"/>
      <c r="F28" s="85"/>
      <c r="G28" s="11"/>
      <c r="H28" s="85"/>
      <c r="I28" s="85"/>
      <c r="J28" s="85"/>
      <c r="K28" s="86"/>
      <c r="L28" s="11"/>
    </row>
    <row r="29" spans="1:12" ht="12.75" customHeight="1">
      <c r="A29" s="15"/>
      <c r="B29" s="14"/>
      <c r="C29" s="14"/>
      <c r="D29" s="11"/>
      <c r="E29" s="85"/>
      <c r="F29" s="85"/>
      <c r="G29" s="11"/>
      <c r="H29" s="85"/>
      <c r="I29" s="85"/>
      <c r="J29" s="85"/>
      <c r="K29" s="86"/>
      <c r="L29" s="11"/>
    </row>
    <row r="30" spans="1:12" ht="12.75" customHeight="1">
      <c r="A30" s="15"/>
      <c r="B30" s="2"/>
      <c r="C30" s="2"/>
      <c r="D30" s="2"/>
      <c r="E30" s="3"/>
      <c r="F30" s="2"/>
      <c r="G30" s="2"/>
      <c r="H30" s="1"/>
      <c r="I30" s="1"/>
      <c r="J30" s="1"/>
      <c r="K30" s="1"/>
      <c r="L30" s="1"/>
    </row>
    <row r="31" spans="1:12" ht="12.75" customHeight="1" thickBot="1">
      <c r="A31" s="179" t="s">
        <v>36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2" ht="12.75" customHeight="1" thickBot="1">
      <c r="A32" s="17" t="s">
        <v>2</v>
      </c>
      <c r="B32" s="17" t="s">
        <v>3</v>
      </c>
      <c r="C32" s="17" t="s">
        <v>4</v>
      </c>
      <c r="D32" s="17" t="s">
        <v>5</v>
      </c>
      <c r="E32" s="17" t="s">
        <v>6</v>
      </c>
      <c r="F32" s="17" t="s">
        <v>7</v>
      </c>
      <c r="G32" s="17" t="s">
        <v>8</v>
      </c>
      <c r="H32" s="17" t="s">
        <v>9</v>
      </c>
      <c r="I32" s="17" t="s">
        <v>10</v>
      </c>
      <c r="J32" s="17" t="s">
        <v>11</v>
      </c>
      <c r="K32" s="17" t="s">
        <v>12</v>
      </c>
      <c r="L32" s="17" t="s">
        <v>13</v>
      </c>
    </row>
    <row r="33" spans="1:12" ht="12.75" customHeight="1" thickBot="1">
      <c r="A33" s="4">
        <f>23%+2%*COLUMN()</f>
        <v>0.25</v>
      </c>
      <c r="B33" s="4">
        <f aca="true" t="shared" si="6" ref="B33:L33">23%+2%*COLUMN()</f>
        <v>0.27</v>
      </c>
      <c r="C33" s="4">
        <f t="shared" si="6"/>
        <v>0.29000000000000004</v>
      </c>
      <c r="D33" s="4">
        <f t="shared" si="6"/>
        <v>0.31</v>
      </c>
      <c r="E33" s="4">
        <f t="shared" si="6"/>
        <v>0.33</v>
      </c>
      <c r="F33" s="4">
        <f t="shared" si="6"/>
        <v>0.35</v>
      </c>
      <c r="G33" s="4">
        <f t="shared" si="6"/>
        <v>0.37</v>
      </c>
      <c r="H33" s="4">
        <f t="shared" si="6"/>
        <v>0.39</v>
      </c>
      <c r="I33" s="4">
        <f t="shared" si="6"/>
        <v>0.41000000000000003</v>
      </c>
      <c r="J33" s="4">
        <f t="shared" si="6"/>
        <v>0.43000000000000005</v>
      </c>
      <c r="K33" s="4">
        <f t="shared" si="6"/>
        <v>0.45</v>
      </c>
      <c r="L33" s="4">
        <f t="shared" si="6"/>
        <v>0.47</v>
      </c>
    </row>
    <row r="34" spans="1:12" ht="12.75" customHeight="1" thickBot="1">
      <c r="A34" s="15"/>
      <c r="B34" s="2"/>
      <c r="C34" s="2"/>
      <c r="D34" s="2"/>
      <c r="E34" s="3"/>
      <c r="F34" s="2"/>
      <c r="G34" s="2"/>
      <c r="H34" s="1"/>
      <c r="I34" s="1"/>
      <c r="J34" s="1"/>
      <c r="K34" s="1"/>
      <c r="L34" s="1"/>
    </row>
    <row r="35" spans="1:12" ht="12.75" customHeight="1">
      <c r="A35" s="180" t="s">
        <v>24</v>
      </c>
      <c r="B35" s="2"/>
      <c r="C35" s="182" t="s">
        <v>31</v>
      </c>
      <c r="D35" s="183"/>
      <c r="E35" s="184"/>
      <c r="F35" s="2"/>
      <c r="G35" s="182" t="s">
        <v>32</v>
      </c>
      <c r="H35" s="183"/>
      <c r="I35" s="184"/>
      <c r="J35" s="1"/>
      <c r="K35" s="180" t="s">
        <v>29</v>
      </c>
      <c r="L35" s="185" t="s">
        <v>30</v>
      </c>
    </row>
    <row r="36" spans="1:12" ht="12.75" customHeight="1">
      <c r="A36" s="181"/>
      <c r="B36" s="2"/>
      <c r="C36" s="22" t="s">
        <v>33</v>
      </c>
      <c r="D36" s="23" t="s">
        <v>34</v>
      </c>
      <c r="E36" s="24" t="s">
        <v>35</v>
      </c>
      <c r="F36" s="2"/>
      <c r="G36" s="22" t="s">
        <v>33</v>
      </c>
      <c r="H36" s="23" t="s">
        <v>34</v>
      </c>
      <c r="I36" s="26" t="s">
        <v>35</v>
      </c>
      <c r="J36" s="2"/>
      <c r="K36" s="181"/>
      <c r="L36" s="186"/>
    </row>
    <row r="37" spans="1:12" ht="12.75" customHeight="1" thickBot="1">
      <c r="A37" s="21">
        <v>0.17</v>
      </c>
      <c r="B37" s="2"/>
      <c r="C37" s="25">
        <f>SUMIF(C3:C26,"=café",D3:D26)</f>
        <v>696</v>
      </c>
      <c r="D37" s="25">
        <f>SUMIF(C3:C26,"=café",G3:G26)</f>
        <v>694</v>
      </c>
      <c r="E37" s="56">
        <f>SUMIF(C3:C26,"=café",K3:K26)</f>
        <v>41482</v>
      </c>
      <c r="F37" s="2"/>
      <c r="G37" s="25">
        <f>SUMIF(C3:C26,"=chá",D3:D26)</f>
        <v>428</v>
      </c>
      <c r="H37" s="25">
        <f>SUMIF(C3:C26,"=chá",G3:G26)</f>
        <v>403</v>
      </c>
      <c r="I37" s="56">
        <f>SUMIF(C3:C26,"=chá",K3:K26)</f>
        <v>7312</v>
      </c>
      <c r="J37" s="2"/>
      <c r="K37" s="28">
        <f ca="1">TODAY()</f>
        <v>37198</v>
      </c>
      <c r="L37" s="27">
        <f ca="1">NOW()</f>
        <v>37198.69889826389</v>
      </c>
    </row>
  </sheetData>
  <mergeCells count="8">
    <mergeCell ref="B1:F1"/>
    <mergeCell ref="G1:K1"/>
    <mergeCell ref="A31:L31"/>
    <mergeCell ref="A35:A36"/>
    <mergeCell ref="C35:E35"/>
    <mergeCell ref="G35:I35"/>
    <mergeCell ref="K35:K36"/>
    <mergeCell ref="L35:L36"/>
  </mergeCells>
  <printOptions/>
  <pageMargins left="0.75" right="0.75" top="1" bottom="1" header="0.5" footer="0.5"/>
  <pageSetup orientation="portrait" paperSize="9"/>
  <drawing r:id="rId3"/>
  <legacyDrawing r:id="rId2"/>
  <oleObjects>
    <oleObject progId="MS_ClipArt_Gallery" shapeId="1464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" sqref="B1"/>
    </sheetView>
  </sheetViews>
  <sheetFormatPr defaultColWidth="9.140625" defaultRowHeight="12.75"/>
  <cols>
    <col min="1" max="1" width="19.140625" style="0" customWidth="1"/>
    <col min="2" max="2" width="19.140625" style="0" bestFit="1" customWidth="1"/>
    <col min="3" max="4" width="9.28125" style="0" bestFit="1" customWidth="1"/>
    <col min="5" max="5" width="10.421875" style="0" bestFit="1" customWidth="1"/>
    <col min="6" max="8" width="9.28125" style="0" customWidth="1"/>
    <col min="9" max="9" width="8.57421875" style="0" customWidth="1"/>
    <col min="10" max="10" width="10.421875" style="0" customWidth="1"/>
    <col min="11" max="25" width="12.140625" style="0" bestFit="1" customWidth="1"/>
    <col min="26" max="26" width="11.57421875" style="0" bestFit="1" customWidth="1"/>
  </cols>
  <sheetData>
    <row r="1" spans="1:2" ht="12.75">
      <c r="A1" s="32" t="s">
        <v>28</v>
      </c>
      <c r="B1" s="40" t="s">
        <v>38</v>
      </c>
    </row>
    <row r="3" spans="1:5" ht="12.75">
      <c r="A3" s="31"/>
      <c r="B3" s="37"/>
      <c r="C3" s="137" t="s">
        <v>15</v>
      </c>
      <c r="D3" s="37"/>
      <c r="E3" s="138"/>
    </row>
    <row r="4" spans="1:5" ht="12.75">
      <c r="A4" s="137" t="s">
        <v>14</v>
      </c>
      <c r="B4" s="137" t="s">
        <v>37</v>
      </c>
      <c r="C4" s="31" t="s">
        <v>20</v>
      </c>
      <c r="D4" s="114" t="s">
        <v>21</v>
      </c>
      <c r="E4" s="33" t="s">
        <v>77</v>
      </c>
    </row>
    <row r="5" spans="1:5" ht="12.75">
      <c r="A5" s="31" t="s">
        <v>17</v>
      </c>
      <c r="B5" s="31" t="s">
        <v>70</v>
      </c>
      <c r="C5" s="115">
        <v>234</v>
      </c>
      <c r="D5" s="116">
        <v>126</v>
      </c>
      <c r="E5" s="60">
        <v>360</v>
      </c>
    </row>
    <row r="6" spans="1:5" ht="12.75">
      <c r="A6" s="34"/>
      <c r="B6" s="35" t="s">
        <v>39</v>
      </c>
      <c r="C6" s="117">
        <v>8484</v>
      </c>
      <c r="D6" s="118">
        <v>2070</v>
      </c>
      <c r="E6" s="36">
        <v>10554</v>
      </c>
    </row>
    <row r="7" spans="1:5" ht="12.75">
      <c r="A7" s="31" t="s">
        <v>18</v>
      </c>
      <c r="B7" s="31" t="s">
        <v>70</v>
      </c>
      <c r="C7" s="115">
        <v>250</v>
      </c>
      <c r="D7" s="116">
        <v>140</v>
      </c>
      <c r="E7" s="60">
        <v>390</v>
      </c>
    </row>
    <row r="8" spans="1:5" ht="12.75">
      <c r="A8" s="34"/>
      <c r="B8" s="35" t="s">
        <v>39</v>
      </c>
      <c r="C8" s="117">
        <v>24691</v>
      </c>
      <c r="D8" s="118">
        <v>1489</v>
      </c>
      <c r="E8" s="36">
        <v>26180</v>
      </c>
    </row>
    <row r="9" spans="1:5" ht="12.75">
      <c r="A9" s="31" t="s">
        <v>19</v>
      </c>
      <c r="B9" s="31" t="s">
        <v>70</v>
      </c>
      <c r="C9" s="115">
        <v>210</v>
      </c>
      <c r="D9" s="116">
        <v>137</v>
      </c>
      <c r="E9" s="60">
        <v>347</v>
      </c>
    </row>
    <row r="10" spans="1:5" ht="12.75">
      <c r="A10" s="34"/>
      <c r="B10" s="35" t="s">
        <v>39</v>
      </c>
      <c r="C10" s="117">
        <v>8307</v>
      </c>
      <c r="D10" s="118">
        <v>3753</v>
      </c>
      <c r="E10" s="36">
        <v>12060</v>
      </c>
    </row>
    <row r="11" spans="1:5" ht="12.75">
      <c r="A11" s="31" t="s">
        <v>71</v>
      </c>
      <c r="B11" s="37"/>
      <c r="C11" s="115">
        <v>694</v>
      </c>
      <c r="D11" s="116">
        <v>403</v>
      </c>
      <c r="E11" s="60">
        <v>1097</v>
      </c>
    </row>
    <row r="12" spans="1:5" ht="12.75">
      <c r="A12" s="38" t="s">
        <v>40</v>
      </c>
      <c r="B12" s="39"/>
      <c r="C12" s="119">
        <v>41482</v>
      </c>
      <c r="D12" s="120">
        <v>7312</v>
      </c>
      <c r="E12" s="121">
        <v>48794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s="127"/>
      <c r="B1" s="195" t="s">
        <v>110</v>
      </c>
      <c r="C1" s="196"/>
    </row>
    <row r="2" spans="1:3" ht="12.75">
      <c r="A2" s="125" t="str">
        <f>'Exerc 8 - Folha2'!B1</f>
        <v>Jan-Fev</v>
      </c>
      <c r="B2" s="194" t="s">
        <v>115</v>
      </c>
      <c r="C2" s="194"/>
    </row>
    <row r="3" spans="1:3" ht="12.75">
      <c r="A3" s="126" t="str">
        <f>'Exerc 8 - Folha2'!C1</f>
        <v>Fev-Mar</v>
      </c>
      <c r="B3" s="194" t="s">
        <v>116</v>
      </c>
      <c r="C3" s="194"/>
    </row>
    <row r="4" spans="1:3" ht="12.75">
      <c r="A4" s="126" t="str">
        <f>'Exerc 8 - Folha2'!D1</f>
        <v>Mar-Abr</v>
      </c>
      <c r="B4" s="194" t="s">
        <v>117</v>
      </c>
      <c r="C4" s="194"/>
    </row>
    <row r="5" spans="1:3" ht="12.75">
      <c r="A5" s="126" t="str">
        <f>'Exerc 8 - Folha2'!E1</f>
        <v>Abr-Mai</v>
      </c>
      <c r="B5" s="194" t="s">
        <v>118</v>
      </c>
      <c r="C5" s="194"/>
    </row>
  </sheetData>
  <mergeCells count="5">
    <mergeCell ref="B3:C3"/>
    <mergeCell ref="B4:C4"/>
    <mergeCell ref="B5:C5"/>
    <mergeCell ref="B1:C1"/>
    <mergeCell ref="B2:C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3" max="3" width="9.8515625" style="0" bestFit="1" customWidth="1"/>
  </cols>
  <sheetData>
    <row r="1" spans="1:7" ht="43.5" customHeight="1">
      <c r="A1" s="122"/>
      <c r="B1" s="123" t="s">
        <v>111</v>
      </c>
      <c r="C1" s="123" t="s">
        <v>112</v>
      </c>
      <c r="D1" s="123" t="s">
        <v>113</v>
      </c>
      <c r="E1" s="124" t="s">
        <v>114</v>
      </c>
      <c r="F1" s="129"/>
      <c r="G1" s="130" t="s">
        <v>110</v>
      </c>
    </row>
    <row r="2" spans="1:7" ht="12.75">
      <c r="A2" s="63" t="s">
        <v>108</v>
      </c>
      <c r="B2" s="81" t="s">
        <v>109</v>
      </c>
      <c r="C2" s="81"/>
      <c r="D2" s="81"/>
      <c r="E2" s="128"/>
      <c r="F2" s="194" t="str">
        <f>VLOOKUP(INDEX(B$1:E$1,1,MATCH("X",B2:E2,0)),'Exerc 8 - Folha1'!A$2:C$5,2,FALSE)</f>
        <v>Aquário</v>
      </c>
      <c r="G2" s="194"/>
    </row>
    <row r="3" spans="1:7" ht="12.75">
      <c r="A3" s="63" t="s">
        <v>106</v>
      </c>
      <c r="B3" s="81"/>
      <c r="C3" s="81"/>
      <c r="D3" s="81" t="s">
        <v>109</v>
      </c>
      <c r="E3" s="128"/>
      <c r="F3" s="194" t="str">
        <f>VLOOKUP(INDEX(B$1:E$1,1,MATCH("X",B3:E3,0)),'Exerc 8 - Folha1'!A$2:C$5,2,FALSE)</f>
        <v>Carneiro</v>
      </c>
      <c r="G3" s="194"/>
    </row>
    <row r="4" spans="1:7" ht="12.75">
      <c r="A4" s="63" t="s">
        <v>53</v>
      </c>
      <c r="B4" s="81"/>
      <c r="C4" s="81" t="s">
        <v>109</v>
      </c>
      <c r="D4" s="81"/>
      <c r="E4" s="128"/>
      <c r="F4" s="194" t="str">
        <f>VLOOKUP(INDEX(B$1:E$1,1,MATCH("X",B4:E4,0)),'Exerc 8 - Folha1'!A$2:C$5,2,FALSE)</f>
        <v>Peixes</v>
      </c>
      <c r="G4" s="194"/>
    </row>
    <row r="5" spans="1:7" ht="12.75">
      <c r="A5" s="63" t="s">
        <v>45</v>
      </c>
      <c r="B5" s="81"/>
      <c r="C5" s="81"/>
      <c r="D5" s="81"/>
      <c r="E5" s="128" t="s">
        <v>109</v>
      </c>
      <c r="F5" s="194" t="str">
        <f>VLOOKUP(INDEX(B$1:E$1,1,MATCH("X",B5:E5,0)),'Exerc 8 - Folha1'!A$2:C$5,2,FALSE)</f>
        <v>Touro</v>
      </c>
      <c r="G5" s="194"/>
    </row>
    <row r="6" spans="1:7" ht="12.75">
      <c r="A6" s="63" t="s">
        <v>107</v>
      </c>
      <c r="B6" s="81" t="s">
        <v>109</v>
      </c>
      <c r="C6" s="81"/>
      <c r="D6" s="81"/>
      <c r="E6" s="128"/>
      <c r="F6" s="194" t="str">
        <f>VLOOKUP(INDEX(B$1:E$1,1,MATCH("X",B6:E6,0)),'Exerc 8 - Folha1'!A$2:C$5,2,FALSE)</f>
        <v>Aquário</v>
      </c>
      <c r="G6" s="194"/>
    </row>
    <row r="7" spans="1:7" ht="12.75">
      <c r="A7" s="63" t="s">
        <v>46</v>
      </c>
      <c r="B7" s="81"/>
      <c r="C7" s="81"/>
      <c r="D7" s="81"/>
      <c r="E7" s="128" t="s">
        <v>109</v>
      </c>
      <c r="F7" s="194" t="str">
        <f>VLOOKUP(INDEX(B$1:E$1,1,MATCH("X",B7:E7,0)),'Exerc 8 - Folha1'!A$2:C$5,2,FALSE)</f>
        <v>Touro</v>
      </c>
      <c r="G7" s="194"/>
    </row>
  </sheetData>
  <mergeCells count="6">
    <mergeCell ref="F6:G6"/>
    <mergeCell ref="F7:G7"/>
    <mergeCell ref="F2:G2"/>
    <mergeCell ref="F3:G3"/>
    <mergeCell ref="F4:G4"/>
    <mergeCell ref="F5:G5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39" t="s">
        <v>78</v>
      </c>
      <c r="B1" s="139" t="s">
        <v>79</v>
      </c>
    </row>
    <row r="2" spans="1:2" ht="12.75">
      <c r="A2" s="81">
        <v>5</v>
      </c>
      <c r="B2" s="81">
        <v>3200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0" bestFit="1" customWidth="1"/>
    <col min="2" max="2" width="19.28125" style="0" bestFit="1" customWidth="1"/>
    <col min="4" max="4" width="10.28125" style="0" bestFit="1" customWidth="1"/>
    <col min="6" max="6" width="10.28125" style="0" bestFit="1" customWidth="1"/>
  </cols>
  <sheetData>
    <row r="1" spans="1:5" ht="12.75">
      <c r="A1" s="67" t="s">
        <v>72</v>
      </c>
      <c r="B1" s="82" t="s">
        <v>120</v>
      </c>
      <c r="D1" s="87"/>
      <c r="E1" s="87"/>
    </row>
    <row r="2" spans="4:5" ht="12.75">
      <c r="D2" s="87"/>
      <c r="E2" s="88"/>
    </row>
    <row r="3" spans="1:5" ht="12.75">
      <c r="A3" s="67" t="s">
        <v>1</v>
      </c>
      <c r="B3" s="63">
        <v>500000</v>
      </c>
      <c r="D3" s="87"/>
      <c r="E3" s="88"/>
    </row>
    <row r="4" spans="1:5" ht="12.75">
      <c r="A4" s="67" t="s">
        <v>76</v>
      </c>
      <c r="B4" s="64">
        <v>352</v>
      </c>
      <c r="D4" s="87"/>
      <c r="E4" s="88"/>
    </row>
    <row r="5" spans="1:5" ht="12.75">
      <c r="A5" s="67" t="s">
        <v>25</v>
      </c>
      <c r="B5" s="66">
        <f>B3*B4</f>
        <v>176000000</v>
      </c>
      <c r="D5" s="87"/>
      <c r="E5" s="87"/>
    </row>
    <row r="6" spans="1:2" ht="12.75">
      <c r="A6" s="67" t="s">
        <v>27</v>
      </c>
      <c r="B6" s="64">
        <v>100000000</v>
      </c>
    </row>
    <row r="7" spans="1:2" ht="12.75">
      <c r="A7" s="67" t="s">
        <v>73</v>
      </c>
      <c r="B7" s="65">
        <f>B5-B6</f>
        <v>76000000</v>
      </c>
    </row>
    <row r="8" spans="1:2" ht="12.75">
      <c r="A8" s="67" t="s">
        <v>74</v>
      </c>
      <c r="B8" s="65">
        <f>B7*40%</f>
        <v>30400000</v>
      </c>
    </row>
    <row r="10" spans="1:2" ht="12.75">
      <c r="A10" s="67" t="s">
        <v>75</v>
      </c>
      <c r="B10" s="65">
        <f>B7-B8</f>
        <v>45600000</v>
      </c>
    </row>
  </sheetData>
  <dataValidations count="1">
    <dataValidation type="list" allowBlank="1" showInputMessage="1" showErrorMessage="1" sqref="B1">
      <formula1>$D$2:$D$4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Lopes</dc:creator>
  <cp:keywords/>
  <dc:description/>
  <cp:lastModifiedBy>Ricardo Rocha</cp:lastModifiedBy>
  <cp:lastPrinted>1999-10-24T14:57:44Z</cp:lastPrinted>
  <dcterms:created xsi:type="dcterms:W3CDTF">1998-10-10T09:18:57Z</dcterms:created>
  <dcterms:modified xsi:type="dcterms:W3CDTF">2001-11-03T16:48:56Z</dcterms:modified>
  <cp:category/>
  <cp:version/>
  <cp:contentType/>
  <cp:contentStatus/>
</cp:coreProperties>
</file>